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CHEN\tools\"/>
    </mc:Choice>
  </mc:AlternateContent>
  <xr:revisionPtr revIDLastSave="0" documentId="13_ncr:1_{E7367772-79A5-42F1-A426-695E3FFFF4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ttery Lif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M10" i="1" s="1"/>
  <c r="G15" i="1" s="1"/>
  <c r="N5" i="1"/>
  <c r="N10" i="1" s="1"/>
  <c r="H15" i="1" s="1"/>
  <c r="L5" i="1"/>
  <c r="L10" i="1" s="1"/>
  <c r="G28" i="1"/>
  <c r="H28" i="1"/>
  <c r="G11" i="1"/>
  <c r="H11" i="1"/>
  <c r="G12" i="1"/>
  <c r="H12" i="1"/>
  <c r="G16" i="1"/>
  <c r="G20" i="1" s="1"/>
  <c r="H16" i="1"/>
  <c r="H20" i="1" s="1"/>
  <c r="G19" i="1"/>
  <c r="H19" i="1"/>
  <c r="N4" i="1"/>
  <c r="N3" i="1"/>
  <c r="M4" i="1"/>
  <c r="M3" i="1"/>
  <c r="N17" i="1"/>
  <c r="N15" i="1"/>
  <c r="M17" i="1"/>
  <c r="M15" i="1"/>
  <c r="G8" i="1"/>
  <c r="H8" i="1"/>
  <c r="G7" i="1"/>
  <c r="G13" i="1" s="1"/>
  <c r="H7" i="1"/>
  <c r="H13" i="1" s="1"/>
  <c r="G4" i="1"/>
  <c r="H4" i="1"/>
  <c r="G3" i="1"/>
  <c r="H3" i="1"/>
  <c r="F16" i="1"/>
  <c r="F7" i="1"/>
  <c r="N13" i="1" l="1"/>
  <c r="N14" i="1" s="1"/>
  <c r="H6" i="1"/>
  <c r="G6" i="1"/>
  <c r="H21" i="1"/>
  <c r="M13" i="1"/>
  <c r="M14" i="1" s="1"/>
  <c r="H14" i="1"/>
  <c r="G14" i="1"/>
  <c r="G21" i="1"/>
  <c r="H5" i="1"/>
  <c r="H24" i="1" s="1"/>
  <c r="H29" i="1" s="1"/>
  <c r="G5" i="1"/>
  <c r="G24" i="1" s="1"/>
  <c r="G29" i="1" s="1"/>
  <c r="N16" i="1"/>
  <c r="N19" i="1" s="1"/>
  <c r="N18" i="1"/>
  <c r="M16" i="1"/>
  <c r="M19" i="1" s="1"/>
  <c r="M18" i="1"/>
  <c r="F3" i="1"/>
  <c r="L4" i="1"/>
  <c r="L16" i="1" s="1"/>
  <c r="L19" i="1" s="1"/>
  <c r="L3" i="1"/>
  <c r="F12" i="1"/>
  <c r="F8" i="1"/>
  <c r="F28" i="1"/>
  <c r="F19" i="1"/>
  <c r="F15" i="1"/>
  <c r="F11" i="1"/>
  <c r="F6" i="1"/>
  <c r="F20" i="1"/>
  <c r="F13" i="1"/>
  <c r="F4" i="1"/>
  <c r="L15" i="1"/>
  <c r="L17" i="1"/>
  <c r="G9" i="1" l="1"/>
  <c r="G10" i="1"/>
  <c r="G25" i="1" s="1"/>
  <c r="G30" i="1" s="1"/>
  <c r="H9" i="1"/>
  <c r="H10" i="1" s="1"/>
  <c r="H25" i="1" s="1"/>
  <c r="H30" i="1" s="1"/>
  <c r="H17" i="1"/>
  <c r="H18" i="1" s="1"/>
  <c r="H26" i="1" s="1"/>
  <c r="H31" i="1" s="1"/>
  <c r="G17" i="1"/>
  <c r="G18" i="1" s="1"/>
  <c r="G26" i="1" s="1"/>
  <c r="G31" i="1" s="1"/>
  <c r="N20" i="1"/>
  <c r="N21" i="1" s="1"/>
  <c r="N22" i="1" s="1"/>
  <c r="N12" i="1" s="1"/>
  <c r="M20" i="1"/>
  <c r="M21" i="1" s="1"/>
  <c r="M22" i="1" s="1"/>
  <c r="M12" i="1" s="1"/>
  <c r="L13" i="1"/>
  <c r="L14" i="1" s="1"/>
  <c r="F17" i="1" s="1"/>
  <c r="F18" i="1" s="1"/>
  <c r="F14" i="1"/>
  <c r="F21" i="1"/>
  <c r="L18" i="1"/>
  <c r="L20" i="1" s="1"/>
  <c r="L21" i="1" s="1"/>
  <c r="F5" i="1"/>
  <c r="F24" i="1" s="1"/>
  <c r="F29" i="1" s="1"/>
  <c r="G32" i="1" l="1"/>
  <c r="G50" i="1" s="1"/>
  <c r="G51" i="1" s="1"/>
  <c r="H32" i="1"/>
  <c r="H50" i="1" s="1"/>
  <c r="H51" i="1" s="1"/>
  <c r="L22" i="1"/>
  <c r="L12" i="1" s="1"/>
  <c r="F9" i="1"/>
  <c r="F10" i="1" s="1"/>
  <c r="F25" i="1" s="1"/>
  <c r="F30" i="1" s="1"/>
  <c r="F26" i="1"/>
  <c r="G52" i="1" l="1"/>
  <c r="H52" i="1"/>
  <c r="F31" i="1"/>
  <c r="F32" i="1" s="1"/>
  <c r="F50" i="1" l="1"/>
  <c r="F52" i="1" s="1"/>
  <c r="F51" i="1" l="1"/>
</calcChain>
</file>

<file path=xl/sharedStrings.xml><?xml version="1.0" encoding="utf-8"?>
<sst xmlns="http://schemas.openxmlformats.org/spreadsheetml/2006/main" count="141" uniqueCount="110">
  <si>
    <t>Battery capacity (mAh)</t>
  </si>
  <si>
    <t>Power consumption per one cycle (Bluetooth + LoRa) (mAh)</t>
    <phoneticPr fontId="1" type="noConversion"/>
  </si>
  <si>
    <t>Battery Discharge</t>
    <phoneticPr fontId="1" type="noConversion"/>
  </si>
  <si>
    <t>Battery Life @ interval (months)</t>
    <phoneticPr fontId="1" type="noConversion"/>
  </si>
  <si>
    <t>Power consumption per one day (Bluetooth + LoRa) (mAh)</t>
    <phoneticPr fontId="1" type="noConversion"/>
  </si>
  <si>
    <t>Downlink LoRa receive (mA)</t>
    <phoneticPr fontId="1" type="noConversion"/>
  </si>
  <si>
    <t>Downlink power consumption per one day (mAh)</t>
    <phoneticPr fontId="1" type="noConversion"/>
  </si>
  <si>
    <t>HB data LoRa transmit (mA)</t>
    <phoneticPr fontId="1" type="noConversion"/>
  </si>
  <si>
    <t>BLE</t>
    <phoneticPr fontId="1" type="noConversion"/>
  </si>
  <si>
    <t>Power consumption per one day (HB + LoRa) (mAh)</t>
    <phoneticPr fontId="1" type="noConversion"/>
  </si>
  <si>
    <t>Power consumption per one cycle (mAh)</t>
    <phoneticPr fontId="1" type="noConversion"/>
  </si>
  <si>
    <t>BLE data power consumption per one cycle (mAh)</t>
    <phoneticPr fontId="1" type="noConversion"/>
  </si>
  <si>
    <t>Downlink power consumption per one cycle (mAh)</t>
    <phoneticPr fontId="1" type="noConversion"/>
  </si>
  <si>
    <t>HB data power consumption per one cycle (mAh)</t>
    <phoneticPr fontId="1" type="noConversion"/>
  </si>
  <si>
    <t>Power consumption per one cycle (HB + LoRa) (mAh)</t>
    <phoneticPr fontId="1" type="noConversion"/>
  </si>
  <si>
    <t>Battery Life @ interval (years)</t>
    <phoneticPr fontId="1" type="noConversion"/>
  </si>
  <si>
    <t>Theoretical Analysis (according to the data in datasheets)</t>
    <phoneticPr fontId="1" type="noConversion"/>
  </si>
  <si>
    <t>Power consumption  (IDLE) (uA)</t>
    <phoneticPr fontId="1" type="noConversion"/>
  </si>
  <si>
    <t>IDLE</t>
    <phoneticPr fontId="1" type="noConversion"/>
  </si>
  <si>
    <t>BLE LoRa Uplink</t>
    <phoneticPr fontId="1" type="noConversion"/>
  </si>
  <si>
    <t>BLE LoRa Downlink</t>
    <phoneticPr fontId="1" type="noConversion"/>
  </si>
  <si>
    <t>HB LoRa Uplink</t>
    <phoneticPr fontId="1" type="noConversion"/>
  </si>
  <si>
    <t>HB LoRa Downlink</t>
    <phoneticPr fontId="1" type="noConversion"/>
  </si>
  <si>
    <t>BW</t>
    <phoneticPr fontId="1" type="noConversion"/>
  </si>
  <si>
    <t>SF</t>
    <phoneticPr fontId="1" type="noConversion"/>
  </si>
  <si>
    <t>H</t>
    <phoneticPr fontId="1" type="noConversion"/>
  </si>
  <si>
    <t>DE</t>
    <phoneticPr fontId="1" type="noConversion"/>
  </si>
  <si>
    <t>payloadSymbNb</t>
    <phoneticPr fontId="1" type="noConversion"/>
  </si>
  <si>
    <t>C</t>
    <phoneticPr fontId="1" type="noConversion"/>
  </si>
  <si>
    <t>A</t>
    <phoneticPr fontId="1" type="noConversion"/>
  </si>
  <si>
    <t>B</t>
    <phoneticPr fontId="1" type="noConversion"/>
  </si>
  <si>
    <t>Tpayload</t>
    <phoneticPr fontId="1" type="noConversion"/>
  </si>
  <si>
    <t>ceil(A/B)</t>
    <phoneticPr fontId="1" type="noConversion"/>
  </si>
  <si>
    <t>Preamble Symbols</t>
    <phoneticPr fontId="1" type="noConversion"/>
  </si>
  <si>
    <t>KHz</t>
    <phoneticPr fontId="1" type="noConversion"/>
  </si>
  <si>
    <t>Symbols</t>
    <phoneticPr fontId="1" type="noConversion"/>
  </si>
  <si>
    <t>Bytes</t>
    <phoneticPr fontId="1" type="noConversion"/>
  </si>
  <si>
    <t>Symbol Time</t>
    <phoneticPr fontId="1" type="noConversion"/>
  </si>
  <si>
    <t>Preamble Duration</t>
    <phoneticPr fontId="1" type="noConversion"/>
  </si>
  <si>
    <t>Time on Air</t>
    <phoneticPr fontId="1" type="noConversion"/>
  </si>
  <si>
    <t>ms</t>
    <phoneticPr fontId="1" type="noConversion"/>
  </si>
  <si>
    <t>6-12</t>
    <phoneticPr fontId="1" type="noConversion"/>
  </si>
  <si>
    <t>TRUE/FALSE</t>
    <phoneticPr fontId="1" type="noConversion"/>
  </si>
  <si>
    <t>LoRaLen</t>
    <phoneticPr fontId="1" type="noConversion"/>
  </si>
  <si>
    <t>bHeader</t>
    <phoneticPr fontId="1" type="noConversion"/>
  </si>
  <si>
    <t>bCrc</t>
    <phoneticPr fontId="1" type="noConversion"/>
  </si>
  <si>
    <t>BLE data LoRa transmit current (mA)</t>
    <phoneticPr fontId="1" type="noConversion"/>
  </si>
  <si>
    <t>Battery Parameter</t>
    <phoneticPr fontId="1" type="noConversion"/>
  </si>
  <si>
    <t>Duration (ms)</t>
    <phoneticPr fontId="1" type="noConversion"/>
  </si>
  <si>
    <t>BLE</t>
    <phoneticPr fontId="1" type="noConversion"/>
  </si>
  <si>
    <t>Bluetooth receiving duration (s)</t>
    <phoneticPr fontId="1" type="noConversion"/>
  </si>
  <si>
    <t>HB</t>
    <phoneticPr fontId="1" type="noConversion"/>
  </si>
  <si>
    <t>POS Parameter</t>
    <phoneticPr fontId="1" type="noConversion"/>
  </si>
  <si>
    <t>BLE data length(bytes)(LoRaWAN protocol header 13bytes)</t>
    <phoneticPr fontId="1" type="noConversion"/>
  </si>
  <si>
    <t>HB data length(bytes)(LoRaWAN protocol header 13bytes)</t>
    <phoneticPr fontId="1" type="noConversion"/>
  </si>
  <si>
    <t>Tx current</t>
    <phoneticPr fontId="1" type="noConversion"/>
  </si>
  <si>
    <t>Rx current</t>
    <phoneticPr fontId="1" type="noConversion"/>
  </si>
  <si>
    <t>mA</t>
    <phoneticPr fontId="1" type="noConversion"/>
  </si>
  <si>
    <t>Power consumption per one day(IDLE)(mAh)</t>
    <phoneticPr fontId="1" type="noConversion"/>
  </si>
  <si>
    <t>Device
One day</t>
    <phoneticPr fontId="1" type="noConversion"/>
  </si>
  <si>
    <t>Function Block
One cycle</t>
    <phoneticPr fontId="1" type="noConversion"/>
  </si>
  <si>
    <t>Function Block
One day</t>
    <phoneticPr fontId="1" type="noConversion"/>
  </si>
  <si>
    <t>DR</t>
    <phoneticPr fontId="1" type="noConversion"/>
  </si>
  <si>
    <t>US915</t>
    <phoneticPr fontId="1" type="noConversion"/>
  </si>
  <si>
    <t>AU915</t>
    <phoneticPr fontId="1" type="noConversion"/>
  </si>
  <si>
    <t>SF10/125KHz</t>
    <phoneticPr fontId="1" type="noConversion"/>
  </si>
  <si>
    <t>SF9/125KHz</t>
    <phoneticPr fontId="1" type="noConversion"/>
  </si>
  <si>
    <t>SF8/125KHz</t>
    <phoneticPr fontId="1" type="noConversion"/>
  </si>
  <si>
    <t>SF7/125KHz</t>
    <phoneticPr fontId="1" type="noConversion"/>
  </si>
  <si>
    <t>SF8/500KHz</t>
    <phoneticPr fontId="1" type="noConversion"/>
  </si>
  <si>
    <t>SF12/125KHz</t>
    <phoneticPr fontId="1" type="noConversion"/>
  </si>
  <si>
    <t>SF11/125KHz</t>
    <phoneticPr fontId="1" type="noConversion"/>
  </si>
  <si>
    <t>SF12/500KHz</t>
    <phoneticPr fontId="1" type="noConversion"/>
  </si>
  <si>
    <t>SF11/500KHz</t>
    <phoneticPr fontId="1" type="noConversion"/>
  </si>
  <si>
    <t>SF10/500KHz</t>
    <phoneticPr fontId="1" type="noConversion"/>
  </si>
  <si>
    <t>SF9/500KHz</t>
    <phoneticPr fontId="1" type="noConversion"/>
  </si>
  <si>
    <t>SF7/500KHz</t>
    <phoneticPr fontId="1" type="noConversion"/>
  </si>
  <si>
    <t>AS923/KR920/EU868/IN865/CN779/CN470/EU433</t>
    <phoneticPr fontId="1" type="noConversion"/>
  </si>
  <si>
    <t>KR920</t>
    <phoneticPr fontId="1" type="noConversion"/>
  </si>
  <si>
    <t>AS923/EU868/IN865/CN779/CN470/EU433</t>
    <phoneticPr fontId="1" type="noConversion"/>
  </si>
  <si>
    <t>Data Rate Scheme</t>
    <phoneticPr fontId="1" type="noConversion"/>
  </si>
  <si>
    <t>Data Rate and Payload Length Limitation Map
(LoRaWAN protocol header 13bytes)</t>
    <phoneticPr fontId="1" type="noConversion"/>
  </si>
  <si>
    <t>Power consumption per one cycle (Bluetooth) (mAh)</t>
    <phoneticPr fontId="1" type="noConversion"/>
  </si>
  <si>
    <t>Power consumption per one day (Bluetooth) (mAh)</t>
    <phoneticPr fontId="1" type="noConversion"/>
  </si>
  <si>
    <t>Battery Life @ interval (days)</t>
    <phoneticPr fontId="1" type="noConversion"/>
  </si>
  <si>
    <t>LoRaWAN DR</t>
    <phoneticPr fontId="1" type="noConversion"/>
  </si>
  <si>
    <t>SF(7-12)</t>
    <phoneticPr fontId="1" type="noConversion"/>
  </si>
  <si>
    <t>LoRaWAN Parameter</t>
    <phoneticPr fontId="1" type="noConversion"/>
  </si>
  <si>
    <t>BLE receive current (mA)</t>
    <phoneticPr fontId="1" type="noConversion"/>
  </si>
  <si>
    <t>BW(KHz) (125/250/500)</t>
    <phoneticPr fontId="1" type="noConversion"/>
  </si>
  <si>
    <t>Battery Life</t>
    <phoneticPr fontId="1" type="noConversion"/>
  </si>
  <si>
    <t>1.Power consumption per one day (Bluetooth + HB + LoRa) (mAh)</t>
    <phoneticPr fontId="1" type="noConversion"/>
  </si>
  <si>
    <t>BLE Report Interval (s)</t>
    <phoneticPr fontId="1" type="noConversion"/>
  </si>
  <si>
    <t>Number of subpackets(multiple packet)</t>
    <phoneticPr fontId="1" type="noConversion"/>
  </si>
  <si>
    <t>HB Report Interval (s)</t>
    <phoneticPr fontId="1" type="noConversion"/>
  </si>
  <si>
    <t>HB Data Length(bytes)</t>
    <phoneticPr fontId="1" type="noConversion"/>
  </si>
  <si>
    <t>BLE Data Length(bytes)</t>
    <phoneticPr fontId="1" type="noConversion"/>
  </si>
  <si>
    <t>BLE Receiving Duration (s)</t>
    <phoneticPr fontId="1" type="noConversion"/>
  </si>
  <si>
    <t>BLE Receive Current (mA)(Radio DC/DC:5mA,other:12mA)</t>
    <phoneticPr fontId="1" type="noConversion"/>
  </si>
  <si>
    <t>1.BLE gateway</t>
    <phoneticPr fontId="1" type="noConversion"/>
  </si>
  <si>
    <t>Total number of reports</t>
    <phoneticPr fontId="1" type="noConversion"/>
  </si>
  <si>
    <t>Scenario 1</t>
    <phoneticPr fontId="1" type="noConversion"/>
  </si>
  <si>
    <t>Scenario 2</t>
  </si>
  <si>
    <t>Scenario 3</t>
  </si>
  <si>
    <t>Parameter</t>
    <phoneticPr fontId="1" type="noConversion"/>
  </si>
  <si>
    <t>Tx Power(dBm) (0/5/10/15/20/22)</t>
    <phoneticPr fontId="1" type="noConversion"/>
  </si>
  <si>
    <t>Tx Power</t>
    <phoneticPr fontId="1" type="noConversion"/>
  </si>
  <si>
    <t>dBm</t>
    <phoneticPr fontId="1" type="noConversion"/>
  </si>
  <si>
    <t>LoRaWAN TxPower</t>
    <phoneticPr fontId="1" type="noConversion"/>
  </si>
  <si>
    <t>Number of packets(multiple packet)(default:1)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</si>
</sst>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2"/>
      <color theme="2" tint="-9.9978637043366805E-2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5" borderId="1" xfId="0" applyFont="1" applyFill="1" applyBorder="1" applyAlignment="1">
      <alignment horizontal="right" vertical="center"/>
    </xf>
    <xf numFmtId="0" fontId="2" fillId="5" borderId="3" xfId="0" applyFont="1" applyFill="1" applyBorder="1" applyAlignment="1">
      <alignment horizontal="right" vertical="center"/>
    </xf>
    <xf numFmtId="0" fontId="2" fillId="5" borderId="8" xfId="0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right" vertical="center"/>
    </xf>
    <xf numFmtId="0" fontId="5" fillId="6" borderId="6" xfId="0" applyFont="1" applyFill="1" applyBorder="1">
      <alignment vertical="center"/>
    </xf>
    <xf numFmtId="0" fontId="5" fillId="6" borderId="8" xfId="0" applyFont="1" applyFill="1" applyBorder="1" applyAlignment="1">
      <alignment horizontal="right" vertical="center"/>
    </xf>
    <xf numFmtId="0" fontId="5" fillId="6" borderId="9" xfId="0" applyFont="1" applyFill="1" applyBorder="1" applyAlignment="1">
      <alignment horizontal="right" vertical="center"/>
    </xf>
    <xf numFmtId="0" fontId="2" fillId="7" borderId="4" xfId="0" applyFont="1" applyFill="1" applyBorder="1" applyAlignment="1">
      <alignment horizontal="right" vertical="center"/>
    </xf>
    <xf numFmtId="49" fontId="2" fillId="7" borderId="6" xfId="0" applyNumberFormat="1" applyFont="1" applyFill="1" applyBorder="1" applyAlignment="1">
      <alignment horizontal="right" vertical="center"/>
    </xf>
    <xf numFmtId="0" fontId="2" fillId="7" borderId="6" xfId="0" applyFont="1" applyFill="1" applyBorder="1" applyAlignment="1">
      <alignment horizontal="right" vertical="center"/>
    </xf>
    <xf numFmtId="0" fontId="2" fillId="7" borderId="9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0" fontId="2" fillId="4" borderId="30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left" vertical="center"/>
    </xf>
    <xf numFmtId="0" fontId="3" fillId="4" borderId="27" xfId="0" applyFont="1" applyFill="1" applyBorder="1" applyAlignment="1">
      <alignment horizontal="left" vertical="center"/>
    </xf>
    <xf numFmtId="0" fontId="3" fillId="4" borderId="28" xfId="0" applyFont="1" applyFill="1" applyBorder="1" applyAlignment="1">
      <alignment horizontal="left" vertical="center"/>
    </xf>
    <xf numFmtId="0" fontId="3" fillId="4" borderId="29" xfId="0" applyFont="1" applyFill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9" borderId="14" xfId="0" applyNumberFormat="1" applyFont="1" applyFill="1" applyBorder="1" applyAlignment="1">
      <alignment horizontal="right" vertical="center"/>
    </xf>
    <xf numFmtId="0" fontId="2" fillId="8" borderId="15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left" vertical="center"/>
    </xf>
    <xf numFmtId="0" fontId="3" fillId="4" borderId="4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3" fillId="4" borderId="45" xfId="0" applyFont="1" applyFill="1" applyBorder="1" applyAlignment="1">
      <alignment horizontal="left" vertical="center"/>
    </xf>
    <xf numFmtId="0" fontId="3" fillId="4" borderId="44" xfId="0" applyFont="1" applyFill="1" applyBorder="1" applyAlignment="1">
      <alignment horizontal="left" vertical="center"/>
    </xf>
    <xf numFmtId="0" fontId="3" fillId="4" borderId="46" xfId="0" applyFont="1" applyFill="1" applyBorder="1" applyAlignment="1">
      <alignment horizontal="left" vertical="center"/>
    </xf>
    <xf numFmtId="0" fontId="8" fillId="11" borderId="27" xfId="0" applyFont="1" applyFill="1" applyBorder="1" applyAlignment="1">
      <alignment horizontal="left" vertical="center" wrapText="1"/>
    </xf>
    <xf numFmtId="0" fontId="8" fillId="11" borderId="28" xfId="0" applyFont="1" applyFill="1" applyBorder="1" applyAlignment="1">
      <alignment horizontal="left" vertical="center"/>
    </xf>
    <xf numFmtId="0" fontId="8" fillId="11" borderId="29" xfId="0" applyFont="1" applyFill="1" applyBorder="1" applyAlignment="1">
      <alignment horizontal="left" vertical="center"/>
    </xf>
    <xf numFmtId="0" fontId="8" fillId="11" borderId="21" xfId="0" applyFont="1" applyFill="1" applyBorder="1" applyAlignment="1">
      <alignment horizontal="left" vertical="center" wrapText="1"/>
    </xf>
    <xf numFmtId="0" fontId="8" fillId="11" borderId="25" xfId="0" applyFont="1" applyFill="1" applyBorder="1" applyAlignment="1">
      <alignment horizontal="left" vertical="center"/>
    </xf>
    <xf numFmtId="3" fontId="7" fillId="2" borderId="43" xfId="0" applyNumberFormat="1" applyFont="1" applyFill="1" applyBorder="1" applyAlignment="1">
      <alignment horizontal="left" vertical="center"/>
    </xf>
    <xf numFmtId="9" fontId="7" fillId="2" borderId="44" xfId="0" applyNumberFormat="1" applyFont="1" applyFill="1" applyBorder="1" applyAlignment="1">
      <alignment horizontal="left" vertical="center"/>
    </xf>
    <xf numFmtId="0" fontId="4" fillId="3" borderId="27" xfId="0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8" fillId="11" borderId="29" xfId="0" applyFont="1" applyFill="1" applyBorder="1" applyAlignment="1">
      <alignment horizontal="left" vertical="center" wrapText="1"/>
    </xf>
    <xf numFmtId="0" fontId="8" fillId="11" borderId="25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4" fillId="4" borderId="28" xfId="0" applyFont="1" applyFill="1" applyBorder="1" applyAlignment="1">
      <alignment horizontal="left" vertical="center"/>
    </xf>
    <xf numFmtId="0" fontId="4" fillId="4" borderId="41" xfId="0" applyFont="1" applyFill="1" applyBorder="1" applyAlignment="1">
      <alignment horizontal="left" vertical="center"/>
    </xf>
    <xf numFmtId="0" fontId="2" fillId="4" borderId="30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left" vertical="center"/>
    </xf>
    <xf numFmtId="0" fontId="4" fillId="4" borderId="48" xfId="0" applyFont="1" applyFill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3" fillId="4" borderId="48" xfId="0" applyFont="1" applyFill="1" applyBorder="1" applyAlignment="1">
      <alignment horizontal="left" vertical="center"/>
    </xf>
    <xf numFmtId="0" fontId="3" fillId="4" borderId="38" xfId="0" applyFont="1" applyFill="1" applyBorder="1" applyAlignment="1">
      <alignment horizontal="left" vertical="center"/>
    </xf>
    <xf numFmtId="0" fontId="3" fillId="4" borderId="50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6" fillId="0" borderId="24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9" fillId="12" borderId="34" xfId="0" applyFont="1" applyFill="1" applyBorder="1" applyAlignment="1">
      <alignment horizontal="center" vertical="center"/>
    </xf>
    <xf numFmtId="0" fontId="9" fillId="12" borderId="36" xfId="0" applyFont="1" applyFill="1" applyBorder="1" applyAlignment="1">
      <alignment horizontal="center" vertical="center" wrapText="1"/>
    </xf>
    <xf numFmtId="0" fontId="9" fillId="12" borderId="20" xfId="0" applyFont="1" applyFill="1" applyBorder="1" applyAlignment="1">
      <alignment horizontal="center" vertical="center"/>
    </xf>
    <xf numFmtId="0" fontId="9" fillId="12" borderId="26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8" fillId="11" borderId="43" xfId="0" applyFont="1" applyFill="1" applyBorder="1" applyAlignment="1">
      <alignment horizontal="left" vertical="center" wrapText="1"/>
    </xf>
    <xf numFmtId="0" fontId="8" fillId="11" borderId="44" xfId="0" applyFont="1" applyFill="1" applyBorder="1" applyAlignment="1">
      <alignment horizontal="left" vertical="center" wrapText="1"/>
    </xf>
    <xf numFmtId="0" fontId="8" fillId="11" borderId="41" xfId="0" applyFont="1" applyFill="1" applyBorder="1" applyAlignment="1">
      <alignment horizontal="left" vertical="center"/>
    </xf>
    <xf numFmtId="0" fontId="8" fillId="11" borderId="44" xfId="0" applyFont="1" applyFill="1" applyBorder="1" applyAlignment="1">
      <alignment horizontal="left" vertical="center"/>
    </xf>
    <xf numFmtId="0" fontId="8" fillId="11" borderId="37" xfId="0" applyFont="1" applyFill="1" applyBorder="1" applyAlignment="1">
      <alignment horizontal="left" vertical="center"/>
    </xf>
    <xf numFmtId="0" fontId="8" fillId="11" borderId="45" xfId="0" applyFont="1" applyFill="1" applyBorder="1" applyAlignment="1">
      <alignment horizontal="left" vertical="center"/>
    </xf>
    <xf numFmtId="0" fontId="8" fillId="11" borderId="0" xfId="0" applyFont="1" applyFill="1" applyAlignment="1">
      <alignment horizontal="left" vertical="center" wrapText="1"/>
    </xf>
    <xf numFmtId="0" fontId="8" fillId="11" borderId="59" xfId="0" applyFont="1" applyFill="1" applyBorder="1" applyAlignment="1">
      <alignment horizontal="left" vertical="center" wrapText="1"/>
    </xf>
    <xf numFmtId="0" fontId="8" fillId="11" borderId="60" xfId="0" applyFont="1" applyFill="1" applyBorder="1" applyAlignment="1">
      <alignment horizontal="left" vertical="center" wrapText="1"/>
    </xf>
    <xf numFmtId="9" fontId="7" fillId="2" borderId="52" xfId="0" applyNumberFormat="1" applyFont="1" applyFill="1" applyBorder="1" applyAlignment="1">
      <alignment horizontal="left" vertical="center"/>
    </xf>
    <xf numFmtId="3" fontId="7" fillId="2" borderId="27" xfId="0" applyNumberFormat="1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40" xfId="0" applyFont="1" applyFill="1" applyBorder="1" applyAlignment="1">
      <alignment horizontal="left" vertical="center"/>
    </xf>
    <xf numFmtId="0" fontId="3" fillId="4" borderId="39" xfId="0" applyFont="1" applyFill="1" applyBorder="1" applyAlignment="1">
      <alignment horizontal="left" vertical="center"/>
    </xf>
    <xf numFmtId="0" fontId="3" fillId="4" borderId="49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4" borderId="19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10" borderId="2" xfId="0" applyFont="1" applyFill="1" applyBorder="1" applyAlignment="1">
      <alignment horizontal="left" vertical="center"/>
    </xf>
    <xf numFmtId="0" fontId="6" fillId="10" borderId="3" xfId="0" applyFont="1" applyFill="1" applyBorder="1" applyAlignment="1">
      <alignment horizontal="left" vertical="center"/>
    </xf>
    <xf numFmtId="0" fontId="6" fillId="10" borderId="4" xfId="0" applyFont="1" applyFill="1" applyBorder="1" applyAlignment="1">
      <alignment horizontal="left" vertical="center"/>
    </xf>
    <xf numFmtId="0" fontId="6" fillId="10" borderId="7" xfId="0" applyFont="1" applyFill="1" applyBorder="1" applyAlignment="1">
      <alignment horizontal="left" vertical="center"/>
    </xf>
    <xf numFmtId="0" fontId="6" fillId="10" borderId="8" xfId="0" applyFont="1" applyFill="1" applyBorder="1" applyAlignment="1">
      <alignment horizontal="left" vertical="center"/>
    </xf>
    <xf numFmtId="0" fontId="6" fillId="10" borderId="9" xfId="0" applyFont="1" applyFill="1" applyBorder="1" applyAlignment="1">
      <alignment horizontal="left" vertical="center"/>
    </xf>
    <xf numFmtId="0" fontId="5" fillId="6" borderId="7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left" vertical="center"/>
    </xf>
    <xf numFmtId="0" fontId="6" fillId="10" borderId="23" xfId="0" applyFont="1" applyFill="1" applyBorder="1" applyAlignment="1">
      <alignment horizontal="center" vertical="center"/>
    </xf>
    <xf numFmtId="0" fontId="6" fillId="10" borderId="22" xfId="0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6" fillId="10" borderId="31" xfId="0" applyFont="1" applyFill="1" applyBorder="1" applyAlignment="1">
      <alignment horizontal="center" vertical="center"/>
    </xf>
    <xf numFmtId="0" fontId="6" fillId="10" borderId="32" xfId="0" applyFont="1" applyFill="1" applyBorder="1" applyAlignment="1">
      <alignment horizontal="center" vertical="center"/>
    </xf>
    <xf numFmtId="0" fontId="6" fillId="10" borderId="3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4" borderId="34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4" fillId="4" borderId="35" xfId="0" applyFont="1" applyFill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3" fillId="4" borderId="34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35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4" fillId="0" borderId="57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12" borderId="8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10" borderId="23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2" fillId="4" borderId="3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/>
    </xf>
    <xf numFmtId="0" fontId="2" fillId="12" borderId="15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7" borderId="7" xfId="0" applyFont="1" applyFill="1" applyBorder="1" applyAlignment="1">
      <alignment horizontal="left" vertical="center"/>
    </xf>
    <xf numFmtId="0" fontId="2" fillId="7" borderId="8" xfId="0" applyFont="1" applyFill="1" applyBorder="1" applyAlignment="1">
      <alignment horizontal="left" vertical="center"/>
    </xf>
    <xf numFmtId="0" fontId="2" fillId="8" borderId="13" xfId="0" applyFont="1" applyFill="1" applyBorder="1" applyAlignment="1">
      <alignment horizontal="left" vertical="center"/>
    </xf>
    <xf numFmtId="0" fontId="2" fillId="8" borderId="14" xfId="0" applyFont="1" applyFill="1" applyBorder="1" applyAlignment="1">
      <alignment horizontal="left" vertical="center"/>
    </xf>
    <xf numFmtId="0" fontId="2" fillId="7" borderId="54" xfId="0" applyFont="1" applyFill="1" applyBorder="1" applyAlignment="1">
      <alignment horizontal="left" vertical="center"/>
    </xf>
    <xf numFmtId="0" fontId="2" fillId="7" borderId="20" xfId="0" applyFont="1" applyFill="1" applyBorder="1" applyAlignment="1">
      <alignment horizontal="left" vertical="center"/>
    </xf>
    <xf numFmtId="0" fontId="3" fillId="4" borderId="36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3" fillId="4" borderId="42" xfId="0" applyFont="1" applyFill="1" applyBorder="1" applyAlignment="1">
      <alignment horizontal="left" vertical="center"/>
    </xf>
    <xf numFmtId="0" fontId="3" fillId="4" borderId="26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15</xdr:col>
      <xdr:colOff>0</xdr:colOff>
      <xdr:row>21</xdr:row>
      <xdr:rowOff>190499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A55E195A-DE19-842D-3C6D-CBE5A8BC7B21}"/>
            </a:ext>
          </a:extLst>
        </xdr:cNvPr>
        <xdr:cNvSpPr/>
      </xdr:nvSpPr>
      <xdr:spPr>
        <a:xfrm>
          <a:off x="9583615" y="381000"/>
          <a:ext cx="5758962" cy="3809999"/>
        </a:xfrm>
        <a:prstGeom prst="rect">
          <a:avLst/>
        </a:prstGeom>
        <a:solidFill>
          <a:schemeClr val="accent1">
            <a:lumMod val="40000"/>
            <a:lumOff val="60000"/>
            <a:alpha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CN" sz="1800" b="1" kern="1200">
              <a:solidFill>
                <a:srgbClr val="FF0000"/>
              </a:solidFill>
            </a:rPr>
            <a:t>Don't</a:t>
          </a:r>
          <a:r>
            <a:rPr lang="en-US" altLang="zh-CN" sz="1800" b="1" kern="1200" baseline="0">
              <a:solidFill>
                <a:srgbClr val="FF0000"/>
              </a:solidFill>
            </a:rPr>
            <a:t> care</a:t>
          </a:r>
        </a:p>
        <a:p>
          <a:pPr algn="ctr"/>
          <a:r>
            <a:rPr lang="en-US" altLang="zh-CN" sz="1800" b="1" kern="1200" baseline="0">
              <a:solidFill>
                <a:srgbClr val="FF0000"/>
              </a:solidFill>
            </a:rPr>
            <a:t>Don't delete</a:t>
          </a:r>
        </a:p>
      </xdr:txBody>
    </xdr:sp>
    <xdr:clientData/>
  </xdr:twoCellAnchor>
  <xdr:twoCellAnchor>
    <xdr:from>
      <xdr:col>0</xdr:col>
      <xdr:colOff>5860</xdr:colOff>
      <xdr:row>1</xdr:row>
      <xdr:rowOff>189035</xdr:rowOff>
    </xdr:from>
    <xdr:to>
      <xdr:col>8</xdr:col>
      <xdr:colOff>0</xdr:colOff>
      <xdr:row>32</xdr:row>
      <xdr:rowOff>0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68E6F016-FEB1-4F08-BBD2-EE57E1FF25E2}"/>
            </a:ext>
          </a:extLst>
        </xdr:cNvPr>
        <xdr:cNvSpPr/>
      </xdr:nvSpPr>
      <xdr:spPr>
        <a:xfrm>
          <a:off x="5860" y="379535"/>
          <a:ext cx="9145467" cy="5716465"/>
        </a:xfrm>
        <a:prstGeom prst="rect">
          <a:avLst/>
        </a:prstGeom>
        <a:solidFill>
          <a:schemeClr val="accent1">
            <a:lumMod val="40000"/>
            <a:lumOff val="60000"/>
            <a:alpha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altLang="zh-CN" sz="1800" b="1" kern="1200">
            <a:solidFill>
              <a:srgbClr val="FF0000"/>
            </a:solidFill>
          </a:endParaRPr>
        </a:p>
        <a:p>
          <a:pPr algn="ctr"/>
          <a:r>
            <a:rPr lang="en-US" altLang="zh-CN" sz="1800" b="1" kern="1200">
              <a:solidFill>
                <a:srgbClr val="FF0000"/>
              </a:solidFill>
            </a:rPr>
            <a:t>                      </a:t>
          </a:r>
        </a:p>
        <a:p>
          <a:pPr algn="ctr"/>
          <a:r>
            <a:rPr lang="en-US" altLang="zh-CN" sz="1800" b="1" kern="1200">
              <a:solidFill>
                <a:srgbClr val="FF0000"/>
              </a:solidFill>
            </a:rPr>
            <a:t>                       Don't</a:t>
          </a:r>
          <a:r>
            <a:rPr lang="en-US" altLang="zh-CN" sz="1800" b="1" kern="1200" baseline="0">
              <a:solidFill>
                <a:srgbClr val="FF0000"/>
              </a:solidFill>
            </a:rPr>
            <a:t> care</a:t>
          </a:r>
        </a:p>
        <a:p>
          <a:pPr algn="ctr"/>
          <a:r>
            <a:rPr lang="en-US" altLang="zh-CN" sz="1800" b="1" kern="1200" baseline="0">
              <a:solidFill>
                <a:srgbClr val="FF0000"/>
              </a:solidFill>
            </a:rPr>
            <a:t>                          Don't delete</a:t>
          </a:r>
        </a:p>
      </xdr:txBody>
    </xdr:sp>
    <xdr:clientData/>
  </xdr:twoCellAnchor>
  <xdr:twoCellAnchor>
    <xdr:from>
      <xdr:col>0</xdr:col>
      <xdr:colOff>0</xdr:colOff>
      <xdr:row>44</xdr:row>
      <xdr:rowOff>190498</xdr:rowOff>
    </xdr:from>
    <xdr:to>
      <xdr:col>8</xdr:col>
      <xdr:colOff>7327</xdr:colOff>
      <xdr:row>51</xdr:row>
      <xdr:rowOff>190499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55C58E30-B634-4F1C-9032-B5724857F2C5}"/>
            </a:ext>
          </a:extLst>
        </xdr:cNvPr>
        <xdr:cNvSpPr/>
      </xdr:nvSpPr>
      <xdr:spPr>
        <a:xfrm>
          <a:off x="0" y="8572498"/>
          <a:ext cx="9158654" cy="1333501"/>
        </a:xfrm>
        <a:prstGeom prst="rect">
          <a:avLst/>
        </a:prstGeom>
        <a:solidFill>
          <a:schemeClr val="accent1">
            <a:lumMod val="40000"/>
            <a:lumOff val="60000"/>
            <a:alpha val="4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altLang="zh-CN" sz="1800" b="1" kern="1200" baseline="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3"/>
  <sheetViews>
    <sheetView tabSelected="1" topLeftCell="A28" zoomScale="130" zoomScaleNormal="130" zoomScaleSheetLayoutView="100" workbookViewId="0">
      <selection activeCell="G46" sqref="G46"/>
    </sheetView>
  </sheetViews>
  <sheetFormatPr defaultColWidth="9" defaultRowHeight="15" customHeight="1" x14ac:dyDescent="0.15"/>
  <cols>
    <col min="1" max="1" width="18.625" style="1" customWidth="1"/>
    <col min="2" max="2" width="16.625" style="1" customWidth="1"/>
    <col min="3" max="5" width="15.625" style="1" customWidth="1"/>
    <col min="6" max="8" width="12.625" style="14" customWidth="1"/>
    <col min="9" max="9" width="5.625" style="1" customWidth="1"/>
    <col min="10" max="11" width="12.625" style="1" customWidth="1"/>
    <col min="12" max="12" width="12.625" style="2" customWidth="1"/>
    <col min="13" max="23" width="12.625" style="1" customWidth="1"/>
    <col min="24" max="16384" width="9" style="1"/>
  </cols>
  <sheetData>
    <row r="1" spans="1:15" ht="15" customHeight="1" x14ac:dyDescent="0.15">
      <c r="A1" s="132" t="s">
        <v>16</v>
      </c>
      <c r="B1" s="133"/>
      <c r="C1" s="133"/>
      <c r="D1" s="133"/>
      <c r="E1" s="133"/>
      <c r="F1" s="133"/>
      <c r="G1" s="133"/>
      <c r="H1" s="134"/>
    </row>
    <row r="2" spans="1:15" ht="15" customHeight="1" thickBot="1" x14ac:dyDescent="0.2">
      <c r="A2" s="135"/>
      <c r="B2" s="136"/>
      <c r="C2" s="136"/>
      <c r="D2" s="136"/>
      <c r="E2" s="136"/>
      <c r="F2" s="136"/>
      <c r="G2" s="136"/>
      <c r="H2" s="137"/>
    </row>
    <row r="3" spans="1:15" ht="15" customHeight="1" x14ac:dyDescent="0.15">
      <c r="A3" s="152" t="s">
        <v>8</v>
      </c>
      <c r="B3" s="109" t="s">
        <v>88</v>
      </c>
      <c r="C3" s="110"/>
      <c r="D3" s="110"/>
      <c r="E3" s="111"/>
      <c r="F3" s="63">
        <f>F38</f>
        <v>6</v>
      </c>
      <c r="G3" s="63">
        <f>G38</f>
        <v>6</v>
      </c>
      <c r="H3" s="64">
        <f>H38</f>
        <v>5</v>
      </c>
      <c r="J3" s="224" t="s">
        <v>23</v>
      </c>
      <c r="K3" s="225"/>
      <c r="L3" s="4">
        <f t="shared" ref="L3:N4" si="0">F35</f>
        <v>125</v>
      </c>
      <c r="M3" s="4">
        <f t="shared" si="0"/>
        <v>125</v>
      </c>
      <c r="N3" s="4">
        <f t="shared" si="0"/>
        <v>125</v>
      </c>
      <c r="O3" s="10" t="s">
        <v>34</v>
      </c>
    </row>
    <row r="4" spans="1:15" ht="15" customHeight="1" x14ac:dyDescent="0.15">
      <c r="A4" s="153"/>
      <c r="B4" s="112" t="s">
        <v>50</v>
      </c>
      <c r="C4" s="113"/>
      <c r="D4" s="113"/>
      <c r="E4" s="114"/>
      <c r="F4" s="58">
        <f>F40</f>
        <v>300</v>
      </c>
      <c r="G4" s="58">
        <f>G40</f>
        <v>300</v>
      </c>
      <c r="H4" s="59">
        <f>H40</f>
        <v>3</v>
      </c>
      <c r="J4" s="226" t="s">
        <v>24</v>
      </c>
      <c r="K4" s="227"/>
      <c r="L4" s="3">
        <f t="shared" si="0"/>
        <v>7</v>
      </c>
      <c r="M4" s="3">
        <f t="shared" si="0"/>
        <v>7</v>
      </c>
      <c r="N4" s="3">
        <f t="shared" si="0"/>
        <v>10</v>
      </c>
      <c r="O4" s="11" t="s">
        <v>41</v>
      </c>
    </row>
    <row r="5" spans="1:15" ht="15" customHeight="1" thickBot="1" x14ac:dyDescent="0.2">
      <c r="A5" s="154"/>
      <c r="B5" s="115" t="s">
        <v>10</v>
      </c>
      <c r="C5" s="116"/>
      <c r="D5" s="116"/>
      <c r="E5" s="117"/>
      <c r="F5" s="65">
        <f>F3*(F4/3600)</f>
        <v>0.5</v>
      </c>
      <c r="G5" s="65">
        <f t="shared" ref="G5:H5" si="1">G3*(G4/3600)</f>
        <v>0.5</v>
      </c>
      <c r="H5" s="66">
        <f t="shared" si="1"/>
        <v>4.1666666666666666E-3</v>
      </c>
      <c r="J5" s="232" t="s">
        <v>106</v>
      </c>
      <c r="K5" s="233"/>
      <c r="L5" s="3">
        <f>F37</f>
        <v>20</v>
      </c>
      <c r="M5" s="3">
        <f t="shared" ref="M5:N5" si="2">G37</f>
        <v>20</v>
      </c>
      <c r="N5" s="3">
        <f t="shared" si="2"/>
        <v>20</v>
      </c>
      <c r="O5" s="11" t="s">
        <v>107</v>
      </c>
    </row>
    <row r="6" spans="1:15" ht="15" customHeight="1" x14ac:dyDescent="0.15">
      <c r="A6" s="222" t="s">
        <v>19</v>
      </c>
      <c r="B6" s="118" t="s">
        <v>46</v>
      </c>
      <c r="C6" s="119"/>
      <c r="D6" s="119"/>
      <c r="E6" s="120"/>
      <c r="F6" s="19">
        <f>L10</f>
        <v>130</v>
      </c>
      <c r="G6" s="19">
        <f>L10</f>
        <v>130</v>
      </c>
      <c r="H6" s="37">
        <f>L10</f>
        <v>130</v>
      </c>
      <c r="J6" s="226" t="s">
        <v>44</v>
      </c>
      <c r="K6" s="227"/>
      <c r="L6" s="3" t="b">
        <v>1</v>
      </c>
      <c r="M6" s="3" t="b">
        <v>1</v>
      </c>
      <c r="N6" s="3" t="b">
        <v>1</v>
      </c>
      <c r="O6" s="12" t="s">
        <v>42</v>
      </c>
    </row>
    <row r="7" spans="1:15" ht="15" customHeight="1" x14ac:dyDescent="0.15">
      <c r="A7" s="209"/>
      <c r="B7" s="103" t="s">
        <v>53</v>
      </c>
      <c r="C7" s="104"/>
      <c r="D7" s="104"/>
      <c r="E7" s="105"/>
      <c r="F7" s="20">
        <f>IF(F41=0,0,F41+13)</f>
        <v>252</v>
      </c>
      <c r="G7" s="20">
        <f>IF(G41=0,0,G41+13)</f>
        <v>252</v>
      </c>
      <c r="H7" s="38">
        <f>IF(H41=0,0,H41+13)</f>
        <v>252</v>
      </c>
      <c r="J7" s="226" t="s">
        <v>45</v>
      </c>
      <c r="K7" s="227"/>
      <c r="L7" s="3" t="b">
        <v>1</v>
      </c>
      <c r="M7" s="3" t="b">
        <v>1</v>
      </c>
      <c r="N7" s="3" t="b">
        <v>1</v>
      </c>
      <c r="O7" s="12" t="s">
        <v>42</v>
      </c>
    </row>
    <row r="8" spans="1:15" ht="15" customHeight="1" x14ac:dyDescent="0.15">
      <c r="A8" s="209"/>
      <c r="B8" s="103" t="s">
        <v>93</v>
      </c>
      <c r="C8" s="104"/>
      <c r="D8" s="104"/>
      <c r="E8" s="105"/>
      <c r="F8" s="20">
        <f>F42</f>
        <v>1</v>
      </c>
      <c r="G8" s="20">
        <f>G42</f>
        <v>1</v>
      </c>
      <c r="H8" s="38">
        <f>H42</f>
        <v>1</v>
      </c>
      <c r="J8" s="226" t="s">
        <v>33</v>
      </c>
      <c r="K8" s="227"/>
      <c r="L8" s="3">
        <v>8</v>
      </c>
      <c r="M8" s="3">
        <v>8</v>
      </c>
      <c r="N8" s="3">
        <v>8</v>
      </c>
      <c r="O8" s="12" t="s">
        <v>35</v>
      </c>
    </row>
    <row r="9" spans="1:15" ht="15" customHeight="1" x14ac:dyDescent="0.15">
      <c r="A9" s="209"/>
      <c r="B9" s="103" t="s">
        <v>48</v>
      </c>
      <c r="C9" s="104"/>
      <c r="D9" s="104"/>
      <c r="E9" s="105"/>
      <c r="F9" s="67">
        <f>IF(F7=0,0,(L14+(8+(ROUNDUP((8*F7-4*L4+28+16*L17-20*L15)/L19,0))*(1+4))*L13))</f>
        <v>394.49599999999998</v>
      </c>
      <c r="G9" s="67">
        <f>IF(G7=0,0,(M14+(8+(ROUNDUP((8*G7-4*M4+28+16*M17-20*M15)/M19,0))*(1+4))*M13))</f>
        <v>394.49599999999998</v>
      </c>
      <c r="H9" s="68">
        <f>IF(H7=0,0,(N14+(8+(ROUNDUP((8*H7-4*N4+28+16*N17-20*N15)/N19,0))*(1+4))*N13))</f>
        <v>2254.848</v>
      </c>
      <c r="J9" s="226" t="s">
        <v>43</v>
      </c>
      <c r="K9" s="227"/>
      <c r="L9" s="3">
        <v>0</v>
      </c>
      <c r="M9" s="3">
        <v>0</v>
      </c>
      <c r="N9" s="3">
        <v>0</v>
      </c>
      <c r="O9" s="12" t="s">
        <v>36</v>
      </c>
    </row>
    <row r="10" spans="1:15" ht="15" customHeight="1" thickBot="1" x14ac:dyDescent="0.2">
      <c r="A10" s="223"/>
      <c r="B10" s="237" t="s">
        <v>11</v>
      </c>
      <c r="C10" s="238"/>
      <c r="D10" s="238"/>
      <c r="E10" s="239"/>
      <c r="F10" s="21">
        <f>F6*(F9/1000/3600)*F8</f>
        <v>1.4245688888888887E-2</v>
      </c>
      <c r="G10" s="21">
        <f t="shared" ref="G10:H10" si="3">G6*(G9/1000/3600)*G8</f>
        <v>1.4245688888888887E-2</v>
      </c>
      <c r="H10" s="41">
        <f t="shared" si="3"/>
        <v>8.1425066666666671E-2</v>
      </c>
      <c r="J10" s="226" t="s">
        <v>55</v>
      </c>
      <c r="K10" s="227"/>
      <c r="L10" s="3">
        <f>IF(L5=22,140,IF(L5=20,130,IF(L5=15,125,IF(L5=10,120,IF(L5&lt;10,115,140)))))</f>
        <v>130</v>
      </c>
      <c r="M10" s="3">
        <f t="shared" ref="M10:N10" si="4">IF(M5=22,140,IF(M5=20,130,IF(M5=15,125,IF(M5=10,120,IF(M5&lt;10,115,140)))))</f>
        <v>130</v>
      </c>
      <c r="N10" s="3">
        <f t="shared" si="4"/>
        <v>130</v>
      </c>
      <c r="O10" s="12" t="s">
        <v>57</v>
      </c>
    </row>
    <row r="11" spans="1:15" ht="15" customHeight="1" thickBot="1" x14ac:dyDescent="0.2">
      <c r="A11" s="155" t="s">
        <v>20</v>
      </c>
      <c r="B11" s="206" t="s">
        <v>5</v>
      </c>
      <c r="C11" s="110"/>
      <c r="D11" s="110"/>
      <c r="E11" s="111"/>
      <c r="F11" s="63">
        <f>L11</f>
        <v>25</v>
      </c>
      <c r="G11" s="63">
        <f t="shared" ref="G11:H11" si="5">M11</f>
        <v>25</v>
      </c>
      <c r="H11" s="64">
        <f t="shared" si="5"/>
        <v>25</v>
      </c>
      <c r="J11" s="228" t="s">
        <v>56</v>
      </c>
      <c r="K11" s="229"/>
      <c r="L11" s="5">
        <v>25</v>
      </c>
      <c r="M11" s="5">
        <v>25</v>
      </c>
      <c r="N11" s="5">
        <v>25</v>
      </c>
      <c r="O11" s="13" t="s">
        <v>57</v>
      </c>
    </row>
    <row r="12" spans="1:15" ht="15" customHeight="1" thickBot="1" x14ac:dyDescent="0.2">
      <c r="A12" s="181"/>
      <c r="B12" s="207" t="s">
        <v>93</v>
      </c>
      <c r="C12" s="113"/>
      <c r="D12" s="113"/>
      <c r="E12" s="114"/>
      <c r="F12" s="58">
        <f>F42</f>
        <v>1</v>
      </c>
      <c r="G12" s="58">
        <f>G42</f>
        <v>1</v>
      </c>
      <c r="H12" s="59">
        <f>H42</f>
        <v>1</v>
      </c>
      <c r="J12" s="230" t="s">
        <v>39</v>
      </c>
      <c r="K12" s="231"/>
      <c r="L12" s="26">
        <f>L14+L22</f>
        <v>25.856000000000002</v>
      </c>
      <c r="M12" s="26">
        <f>M14+M22</f>
        <v>25.856000000000002</v>
      </c>
      <c r="N12" s="26">
        <f>N14+N22</f>
        <v>206.84800000000001</v>
      </c>
      <c r="O12" s="27" t="s">
        <v>40</v>
      </c>
    </row>
    <row r="13" spans="1:15" ht="15" customHeight="1" x14ac:dyDescent="0.15">
      <c r="A13" s="181"/>
      <c r="B13" s="207" t="s">
        <v>48</v>
      </c>
      <c r="C13" s="113"/>
      <c r="D13" s="113"/>
      <c r="E13" s="114"/>
      <c r="F13" s="58">
        <f>IF(F7=0,0,140)</f>
        <v>140</v>
      </c>
      <c r="G13" s="58">
        <f t="shared" ref="G13:H13" si="6">IF(G7=0,0,140)</f>
        <v>140</v>
      </c>
      <c r="H13" s="59">
        <f t="shared" si="6"/>
        <v>140</v>
      </c>
      <c r="J13" s="146" t="s">
        <v>37</v>
      </c>
      <c r="K13" s="147"/>
      <c r="L13" s="82">
        <f>POWER(2,L4)/L3</f>
        <v>1.024</v>
      </c>
      <c r="M13" s="82">
        <f>POWER(2,M4)/M3</f>
        <v>1.024</v>
      </c>
      <c r="N13" s="82">
        <f>POWER(2,N4)/N3</f>
        <v>8.1920000000000002</v>
      </c>
      <c r="O13" s="83" t="s">
        <v>40</v>
      </c>
    </row>
    <row r="14" spans="1:15" ht="15" customHeight="1" thickBot="1" x14ac:dyDescent="0.2">
      <c r="A14" s="182"/>
      <c r="B14" s="211" t="s">
        <v>12</v>
      </c>
      <c r="C14" s="116"/>
      <c r="D14" s="116"/>
      <c r="E14" s="117"/>
      <c r="F14" s="65">
        <f>F11*(F13/1000/3600)*F12</f>
        <v>9.722222222222223E-4</v>
      </c>
      <c r="G14" s="65">
        <f t="shared" ref="G14:H14" si="7">G11*(G13/1000/3600)*G12</f>
        <v>9.722222222222223E-4</v>
      </c>
      <c r="H14" s="66">
        <f t="shared" si="7"/>
        <v>9.722222222222223E-4</v>
      </c>
      <c r="J14" s="148" t="s">
        <v>38</v>
      </c>
      <c r="K14" s="149"/>
      <c r="L14" s="39">
        <f>(L8+4.25)*L13</f>
        <v>12.544</v>
      </c>
      <c r="M14" s="39">
        <f>(M8+4.25)*M13</f>
        <v>12.544</v>
      </c>
      <c r="N14" s="39">
        <f>(N8+4.25)*N13</f>
        <v>100.352</v>
      </c>
      <c r="O14" s="84" t="s">
        <v>40</v>
      </c>
    </row>
    <row r="15" spans="1:15" ht="15" customHeight="1" x14ac:dyDescent="0.15">
      <c r="A15" s="208" t="s">
        <v>21</v>
      </c>
      <c r="B15" s="234" t="s">
        <v>7</v>
      </c>
      <c r="C15" s="235"/>
      <c r="D15" s="235"/>
      <c r="E15" s="236"/>
      <c r="F15" s="60">
        <f>L10</f>
        <v>130</v>
      </c>
      <c r="G15" s="60">
        <f t="shared" ref="G15:H15" si="8">M10</f>
        <v>130</v>
      </c>
      <c r="H15" s="40">
        <f t="shared" si="8"/>
        <v>130</v>
      </c>
      <c r="J15" s="150" t="s">
        <v>25</v>
      </c>
      <c r="K15" s="151"/>
      <c r="L15" s="6">
        <f>IF(L6=TRUE,0,1)</f>
        <v>0</v>
      </c>
      <c r="M15" s="6">
        <f>IF(M6=TRUE,0,1)</f>
        <v>0</v>
      </c>
      <c r="N15" s="6">
        <f>IF(N6=TRUE,0,1)</f>
        <v>0</v>
      </c>
      <c r="O15" s="7"/>
    </row>
    <row r="16" spans="1:15" ht="15" customHeight="1" x14ac:dyDescent="0.15">
      <c r="A16" s="209"/>
      <c r="B16" s="103" t="s">
        <v>54</v>
      </c>
      <c r="C16" s="104"/>
      <c r="D16" s="104"/>
      <c r="E16" s="105"/>
      <c r="F16" s="20">
        <f>IF(F44=0,0,F44+13)</f>
        <v>24</v>
      </c>
      <c r="G16" s="20">
        <f>IF(G44=0,0,G44+13)</f>
        <v>22</v>
      </c>
      <c r="H16" s="38">
        <f>IF(H44=0,0,H44+13)</f>
        <v>22</v>
      </c>
      <c r="J16" s="150" t="s">
        <v>26</v>
      </c>
      <c r="K16" s="151"/>
      <c r="L16" s="6">
        <f>IF(L4&gt;=11,1,0)</f>
        <v>0</v>
      </c>
      <c r="M16" s="6">
        <f>IF(M4&gt;=11,1,0)</f>
        <v>0</v>
      </c>
      <c r="N16" s="6">
        <f>IF(N4&gt;=11,1,0)</f>
        <v>0</v>
      </c>
      <c r="O16" s="7"/>
    </row>
    <row r="17" spans="1:16" ht="15" customHeight="1" x14ac:dyDescent="0.15">
      <c r="A17" s="209"/>
      <c r="B17" s="103" t="s">
        <v>48</v>
      </c>
      <c r="C17" s="104"/>
      <c r="D17" s="104"/>
      <c r="E17" s="105"/>
      <c r="F17" s="20">
        <f>IF(F16=0,0,(L14+(8+(ROUNDUP((8*F16-4*L4+28+16*L17-20*L15)/L19,0))*(1+4))*L13))</f>
        <v>61.695999999999998</v>
      </c>
      <c r="G17" s="20">
        <f>IF(G16=0,0,(M14+(8+(ROUNDUP((8*G16-4*M4+28+16*M17-20*M15)/M19,0))*(1+4))*M13))</f>
        <v>56.576000000000008</v>
      </c>
      <c r="H17" s="38">
        <f>IF(H16=0,0,(N14+(8+(ROUNDUP((8*H16-4*N4+28+16*N17-20*N15)/N19,0))*(1+4))*N13))</f>
        <v>370.68799999999999</v>
      </c>
      <c r="J17" s="150" t="s">
        <v>28</v>
      </c>
      <c r="K17" s="151"/>
      <c r="L17" s="6">
        <f>IF(L7=FALSE,0,1)</f>
        <v>1</v>
      </c>
      <c r="M17" s="6">
        <f>IF(M7=FALSE,0,1)</f>
        <v>1</v>
      </c>
      <c r="N17" s="6">
        <f>IF(N7=FALSE,0,1)</f>
        <v>1</v>
      </c>
      <c r="O17" s="7"/>
    </row>
    <row r="18" spans="1:16" ht="15" customHeight="1" thickBot="1" x14ac:dyDescent="0.2">
      <c r="A18" s="210"/>
      <c r="B18" s="106" t="s">
        <v>13</v>
      </c>
      <c r="C18" s="107"/>
      <c r="D18" s="107"/>
      <c r="E18" s="108"/>
      <c r="F18" s="80">
        <f>F15*(F17/1000/3600)</f>
        <v>2.2279111111111112E-3</v>
      </c>
      <c r="G18" s="80">
        <f t="shared" ref="G18:H18" si="9">G15*(G17/1000/3600)</f>
        <v>2.0430222222222222E-3</v>
      </c>
      <c r="H18" s="81">
        <f t="shared" si="9"/>
        <v>1.3385955555555554E-2</v>
      </c>
      <c r="J18" s="150" t="s">
        <v>29</v>
      </c>
      <c r="K18" s="151"/>
      <c r="L18" s="6">
        <f>8*L9-4*L4+28+16*L17-20*L15</f>
        <v>16</v>
      </c>
      <c r="M18" s="6">
        <f>8*M9-4*M4+28+16*M17-20*M15</f>
        <v>16</v>
      </c>
      <c r="N18" s="6">
        <f>8*N9-4*N4+28+16*N17-20*N15</f>
        <v>4</v>
      </c>
      <c r="O18" s="7"/>
    </row>
    <row r="19" spans="1:16" ht="15" customHeight="1" x14ac:dyDescent="0.15">
      <c r="A19" s="155" t="s">
        <v>22</v>
      </c>
      <c r="B19" s="206" t="s">
        <v>5</v>
      </c>
      <c r="C19" s="110"/>
      <c r="D19" s="110"/>
      <c r="E19" s="111"/>
      <c r="F19" s="63">
        <f>L11</f>
        <v>25</v>
      </c>
      <c r="G19" s="63">
        <f t="shared" ref="G19:H19" si="10">M11</f>
        <v>25</v>
      </c>
      <c r="H19" s="64">
        <f t="shared" si="10"/>
        <v>25</v>
      </c>
      <c r="J19" s="150" t="s">
        <v>30</v>
      </c>
      <c r="K19" s="151"/>
      <c r="L19" s="6">
        <f>(4*(L4-2*L16))</f>
        <v>28</v>
      </c>
      <c r="M19" s="6">
        <f>(4*(M4-2*M16))</f>
        <v>28</v>
      </c>
      <c r="N19" s="6">
        <f>(4*(N4-2*N16))</f>
        <v>40</v>
      </c>
      <c r="O19" s="7"/>
    </row>
    <row r="20" spans="1:16" ht="15" customHeight="1" x14ac:dyDescent="0.15">
      <c r="A20" s="153"/>
      <c r="B20" s="207" t="s">
        <v>48</v>
      </c>
      <c r="C20" s="113"/>
      <c r="D20" s="113"/>
      <c r="E20" s="114"/>
      <c r="F20" s="58">
        <f>IF(F16=0,0,140)</f>
        <v>140</v>
      </c>
      <c r="G20" s="58">
        <f t="shared" ref="G20:H20" si="11">IF(G16=0,0,140)</f>
        <v>140</v>
      </c>
      <c r="H20" s="59">
        <f t="shared" si="11"/>
        <v>140</v>
      </c>
      <c r="J20" s="150" t="s">
        <v>32</v>
      </c>
      <c r="K20" s="151"/>
      <c r="L20" s="6">
        <f>ROUNDUP(L18/L19,0)</f>
        <v>1</v>
      </c>
      <c r="M20" s="6">
        <f>ROUNDUP(M18/M19,0)</f>
        <v>1</v>
      </c>
      <c r="N20" s="6">
        <f>ROUNDUP(N18/N19,0)</f>
        <v>1</v>
      </c>
      <c r="O20" s="7"/>
    </row>
    <row r="21" spans="1:16" ht="15" customHeight="1" thickBot="1" x14ac:dyDescent="0.2">
      <c r="A21" s="154"/>
      <c r="B21" s="211" t="s">
        <v>6</v>
      </c>
      <c r="C21" s="116"/>
      <c r="D21" s="116"/>
      <c r="E21" s="117"/>
      <c r="F21" s="65">
        <f>F19*(F20/1000/3600)</f>
        <v>9.722222222222223E-4</v>
      </c>
      <c r="G21" s="65">
        <f t="shared" ref="G21:H21" si="12">G19*(G20/1000/3600)</f>
        <v>9.722222222222223E-4</v>
      </c>
      <c r="H21" s="66">
        <f t="shared" si="12"/>
        <v>9.722222222222223E-4</v>
      </c>
      <c r="J21" s="150" t="s">
        <v>27</v>
      </c>
      <c r="K21" s="151"/>
      <c r="L21" s="6">
        <f>8+L20*(1+4)</f>
        <v>13</v>
      </c>
      <c r="M21" s="6">
        <f>8+M20*(1+4)</f>
        <v>13</v>
      </c>
      <c r="N21" s="6">
        <f>8+N20*(1+4)</f>
        <v>13</v>
      </c>
      <c r="O21" s="7"/>
    </row>
    <row r="22" spans="1:16" ht="15" customHeight="1" thickBot="1" x14ac:dyDescent="0.2">
      <c r="A22" s="156"/>
      <c r="B22" s="156"/>
      <c r="C22" s="156"/>
      <c r="D22" s="156"/>
      <c r="E22" s="156"/>
      <c r="F22" s="156"/>
      <c r="G22" s="25"/>
      <c r="H22" s="25"/>
      <c r="J22" s="138" t="s">
        <v>31</v>
      </c>
      <c r="K22" s="139"/>
      <c r="L22" s="8">
        <f>L21*L13</f>
        <v>13.312000000000001</v>
      </c>
      <c r="M22" s="8">
        <f>M21*M13</f>
        <v>13.312000000000001</v>
      </c>
      <c r="N22" s="8">
        <f>N21*N13</f>
        <v>106.49600000000001</v>
      </c>
      <c r="O22" s="9" t="s">
        <v>40</v>
      </c>
    </row>
    <row r="23" spans="1:16" ht="15" customHeight="1" thickBot="1" x14ac:dyDescent="0.2">
      <c r="A23" s="17" t="s">
        <v>18</v>
      </c>
      <c r="B23" s="163" t="s">
        <v>17</v>
      </c>
      <c r="C23" s="164"/>
      <c r="D23" s="164"/>
      <c r="E23" s="165"/>
      <c r="F23" s="18">
        <v>5</v>
      </c>
      <c r="G23" s="18">
        <v>5</v>
      </c>
      <c r="H23" s="79">
        <v>5</v>
      </c>
    </row>
    <row r="24" spans="1:16" ht="15" customHeight="1" x14ac:dyDescent="0.15">
      <c r="A24" s="183" t="s">
        <v>60</v>
      </c>
      <c r="B24" s="169" t="s">
        <v>82</v>
      </c>
      <c r="C24" s="170"/>
      <c r="D24" s="170"/>
      <c r="E24" s="171"/>
      <c r="F24" s="61">
        <f>F5</f>
        <v>0.5</v>
      </c>
      <c r="G24" s="61">
        <f t="shared" ref="G24:H24" si="13">G5</f>
        <v>0.5</v>
      </c>
      <c r="H24" s="62">
        <f t="shared" si="13"/>
        <v>4.1666666666666666E-3</v>
      </c>
      <c r="J24" s="140" t="s">
        <v>80</v>
      </c>
      <c r="K24" s="141"/>
      <c r="L24" s="141"/>
      <c r="M24" s="141"/>
      <c r="N24" s="141"/>
      <c r="O24" s="141"/>
      <c r="P24" s="142"/>
    </row>
    <row r="25" spans="1:16" ht="15" customHeight="1" thickBot="1" x14ac:dyDescent="0.2">
      <c r="A25" s="181"/>
      <c r="B25" s="207" t="s">
        <v>1</v>
      </c>
      <c r="C25" s="113"/>
      <c r="D25" s="113"/>
      <c r="E25" s="114"/>
      <c r="F25" s="58">
        <f>F5+F10+F14</f>
        <v>0.51521791111111115</v>
      </c>
      <c r="G25" s="58">
        <f t="shared" ref="G25:H25" si="14">G5+G10+G14</f>
        <v>0.51521791111111115</v>
      </c>
      <c r="H25" s="59">
        <f t="shared" si="14"/>
        <v>8.6563955555555558E-2</v>
      </c>
      <c r="J25" s="143"/>
      <c r="K25" s="144"/>
      <c r="L25" s="144"/>
      <c r="M25" s="144"/>
      <c r="N25" s="144"/>
      <c r="O25" s="144"/>
      <c r="P25" s="145"/>
    </row>
    <row r="26" spans="1:16" ht="15" customHeight="1" thickBot="1" x14ac:dyDescent="0.2">
      <c r="A26" s="182"/>
      <c r="B26" s="211" t="s">
        <v>14</v>
      </c>
      <c r="C26" s="116"/>
      <c r="D26" s="116"/>
      <c r="E26" s="117"/>
      <c r="F26" s="65">
        <f>F18+F21</f>
        <v>3.2001333333333336E-3</v>
      </c>
      <c r="G26" s="65">
        <f t="shared" ref="G26:H26" si="15">G18+G21</f>
        <v>3.0152444444444446E-3</v>
      </c>
      <c r="H26" s="66">
        <f t="shared" si="15"/>
        <v>1.4358177777777776E-2</v>
      </c>
      <c r="J26" s="32" t="s">
        <v>62</v>
      </c>
      <c r="K26" s="87" t="s">
        <v>63</v>
      </c>
      <c r="L26" s="30" t="s">
        <v>64</v>
      </c>
      <c r="M26" s="214" t="s">
        <v>77</v>
      </c>
      <c r="N26" s="214"/>
      <c r="O26" s="214"/>
      <c r="P26" s="215"/>
    </row>
    <row r="27" spans="1:16" ht="15" customHeight="1" thickBot="1" x14ac:dyDescent="0.2">
      <c r="A27" s="156"/>
      <c r="B27" s="156"/>
      <c r="C27" s="156"/>
      <c r="D27" s="156"/>
      <c r="E27" s="156"/>
      <c r="F27" s="156"/>
      <c r="G27" s="25"/>
      <c r="H27" s="25"/>
      <c r="J27" s="31">
        <v>0</v>
      </c>
      <c r="K27" s="88" t="s">
        <v>65</v>
      </c>
      <c r="L27" s="29" t="s">
        <v>70</v>
      </c>
      <c r="M27" s="216" t="s">
        <v>70</v>
      </c>
      <c r="N27" s="216"/>
      <c r="O27" s="216"/>
      <c r="P27" s="217"/>
    </row>
    <row r="28" spans="1:16" ht="15" customHeight="1" thickBot="1" x14ac:dyDescent="0.2">
      <c r="A28" s="70" t="s">
        <v>18</v>
      </c>
      <c r="B28" s="157" t="s">
        <v>58</v>
      </c>
      <c r="C28" s="158"/>
      <c r="D28" s="158"/>
      <c r="E28" s="159"/>
      <c r="F28" s="71">
        <f>F23*24/1000</f>
        <v>0.12</v>
      </c>
      <c r="G28" s="71">
        <f t="shared" ref="G28:H28" si="16">G23*24/1000</f>
        <v>0.12</v>
      </c>
      <c r="H28" s="72">
        <f t="shared" si="16"/>
        <v>0.12</v>
      </c>
      <c r="J28" s="22">
        <v>1</v>
      </c>
      <c r="K28" s="89" t="s">
        <v>66</v>
      </c>
      <c r="L28" s="28" t="s">
        <v>71</v>
      </c>
      <c r="M28" s="128" t="s">
        <v>71</v>
      </c>
      <c r="N28" s="128"/>
      <c r="O28" s="128"/>
      <c r="P28" s="129"/>
    </row>
    <row r="29" spans="1:16" ht="15" customHeight="1" x14ac:dyDescent="0.15">
      <c r="A29" s="183" t="s">
        <v>61</v>
      </c>
      <c r="B29" s="160" t="s">
        <v>83</v>
      </c>
      <c r="C29" s="161"/>
      <c r="D29" s="161"/>
      <c r="E29" s="162"/>
      <c r="F29" s="73">
        <f>IF(F39=0,0,(F24*3600/F39*24))</f>
        <v>144</v>
      </c>
      <c r="G29" s="73">
        <f>IF(G39=0,0,(G24*3600/G39*24))</f>
        <v>144</v>
      </c>
      <c r="H29" s="74">
        <f>IF(H39=0,0,(H24*3600/H39*24))</f>
        <v>5.9523809523809529E-4</v>
      </c>
      <c r="J29" s="22">
        <v>2</v>
      </c>
      <c r="K29" s="89" t="s">
        <v>67</v>
      </c>
      <c r="L29" s="28" t="s">
        <v>65</v>
      </c>
      <c r="M29" s="128" t="s">
        <v>65</v>
      </c>
      <c r="N29" s="128"/>
      <c r="O29" s="128"/>
      <c r="P29" s="129"/>
    </row>
    <row r="30" spans="1:16" ht="15" customHeight="1" x14ac:dyDescent="0.15">
      <c r="A30" s="181"/>
      <c r="B30" s="175" t="s">
        <v>4</v>
      </c>
      <c r="C30" s="176"/>
      <c r="D30" s="176"/>
      <c r="E30" s="177"/>
      <c r="F30" s="75">
        <f>IF(F39=0,0,(F25*3600/F39*24))</f>
        <v>148.3827584</v>
      </c>
      <c r="G30" s="75">
        <f>IF(G39=0,0,(G25*3600/G39*24))</f>
        <v>148.3827584</v>
      </c>
      <c r="H30" s="76">
        <f>IF(H39=0,0,(H25*3600/H39*24))</f>
        <v>1.2366279365079367E-2</v>
      </c>
      <c r="J30" s="22">
        <v>3</v>
      </c>
      <c r="K30" s="89" t="s">
        <v>68</v>
      </c>
      <c r="L30" s="28" t="s">
        <v>66</v>
      </c>
      <c r="M30" s="128" t="s">
        <v>66</v>
      </c>
      <c r="N30" s="128"/>
      <c r="O30" s="128"/>
      <c r="P30" s="129"/>
    </row>
    <row r="31" spans="1:16" ht="15" customHeight="1" thickBot="1" x14ac:dyDescent="0.2">
      <c r="A31" s="182"/>
      <c r="B31" s="172" t="s">
        <v>9</v>
      </c>
      <c r="C31" s="173"/>
      <c r="D31" s="173"/>
      <c r="E31" s="174"/>
      <c r="F31" s="77">
        <f>IF(F43=0,0,(F26*3600/F43*24))</f>
        <v>7.6803200000000002E-2</v>
      </c>
      <c r="G31" s="77">
        <f>IF(G43=0,0,(G26*3600/G43*24))</f>
        <v>7.2365866666666681E-2</v>
      </c>
      <c r="H31" s="78">
        <f>IF(H43=0,0,(H26*3600/H43*24))</f>
        <v>1.4358177777777776E-2</v>
      </c>
      <c r="J31" s="22">
        <v>4</v>
      </c>
      <c r="K31" s="89" t="s">
        <v>69</v>
      </c>
      <c r="L31" s="28" t="s">
        <v>67</v>
      </c>
      <c r="M31" s="128" t="s">
        <v>67</v>
      </c>
      <c r="N31" s="128"/>
      <c r="O31" s="128"/>
      <c r="P31" s="129"/>
    </row>
    <row r="32" spans="1:16" ht="15" customHeight="1" thickBot="1" x14ac:dyDescent="0.2">
      <c r="A32" s="69" t="s">
        <v>59</v>
      </c>
      <c r="B32" s="163" t="s">
        <v>91</v>
      </c>
      <c r="C32" s="164"/>
      <c r="D32" s="164"/>
      <c r="E32" s="165"/>
      <c r="F32" s="18">
        <f>F30+F31+F28</f>
        <v>148.57956160000001</v>
      </c>
      <c r="G32" s="42">
        <f>G30+G31+G28</f>
        <v>148.57512426666668</v>
      </c>
      <c r="H32" s="18">
        <f>H30+H31+H28</f>
        <v>0.14672445714285715</v>
      </c>
      <c r="J32" s="22">
        <v>5</v>
      </c>
      <c r="K32" s="89"/>
      <c r="L32" s="28" t="s">
        <v>68</v>
      </c>
      <c r="M32" s="128" t="s">
        <v>68</v>
      </c>
      <c r="N32" s="128"/>
      <c r="O32" s="128"/>
      <c r="P32" s="129"/>
    </row>
    <row r="33" spans="1:16" ht="15" customHeight="1" thickBot="1" x14ac:dyDescent="0.2">
      <c r="A33" s="185"/>
      <c r="B33" s="185"/>
      <c r="C33" s="185"/>
      <c r="D33" s="185"/>
      <c r="E33" s="185"/>
      <c r="F33" s="185"/>
      <c r="G33" s="185"/>
      <c r="H33" s="185"/>
      <c r="J33" s="22">
        <v>6</v>
      </c>
      <c r="K33" s="89"/>
      <c r="L33" s="28"/>
      <c r="M33" s="128"/>
      <c r="N33" s="128"/>
      <c r="O33" s="128"/>
      <c r="P33" s="129"/>
    </row>
    <row r="34" spans="1:16" ht="15" customHeight="1" thickBot="1" x14ac:dyDescent="0.2">
      <c r="A34" s="186" t="s">
        <v>104</v>
      </c>
      <c r="B34" s="187"/>
      <c r="C34" s="187"/>
      <c r="D34" s="187"/>
      <c r="E34" s="188"/>
      <c r="F34" s="86" t="s">
        <v>101</v>
      </c>
      <c r="G34" s="86" t="s">
        <v>102</v>
      </c>
      <c r="H34" s="85" t="s">
        <v>103</v>
      </c>
      <c r="J34" s="22">
        <v>7</v>
      </c>
      <c r="K34" s="89"/>
      <c r="L34" s="28"/>
      <c r="M34" s="128"/>
      <c r="N34" s="128"/>
      <c r="O34" s="128"/>
      <c r="P34" s="129"/>
    </row>
    <row r="35" spans="1:16" ht="15" customHeight="1" x14ac:dyDescent="0.15">
      <c r="A35" s="155" t="s">
        <v>87</v>
      </c>
      <c r="B35" s="199" t="s">
        <v>85</v>
      </c>
      <c r="C35" s="166" t="s">
        <v>89</v>
      </c>
      <c r="D35" s="167"/>
      <c r="E35" s="201"/>
      <c r="F35" s="46">
        <v>125</v>
      </c>
      <c r="G35" s="43">
        <v>125</v>
      </c>
      <c r="H35" s="92">
        <v>125</v>
      </c>
      <c r="J35" s="22">
        <v>8</v>
      </c>
      <c r="K35" s="89" t="s">
        <v>72</v>
      </c>
      <c r="L35" s="28" t="s">
        <v>72</v>
      </c>
      <c r="M35" s="128"/>
      <c r="N35" s="128"/>
      <c r="O35" s="128"/>
      <c r="P35" s="129"/>
    </row>
    <row r="36" spans="1:16" ht="15" customHeight="1" thickBot="1" x14ac:dyDescent="0.2">
      <c r="A36" s="181"/>
      <c r="B36" s="200"/>
      <c r="C36" s="202" t="s">
        <v>86</v>
      </c>
      <c r="D36" s="203"/>
      <c r="E36" s="204"/>
      <c r="F36" s="57">
        <v>7</v>
      </c>
      <c r="G36" s="56">
        <v>7</v>
      </c>
      <c r="H36" s="93">
        <v>10</v>
      </c>
      <c r="J36" s="22">
        <v>9</v>
      </c>
      <c r="K36" s="89" t="s">
        <v>73</v>
      </c>
      <c r="L36" s="28" t="s">
        <v>73</v>
      </c>
      <c r="M36" s="128"/>
      <c r="N36" s="128"/>
      <c r="O36" s="128"/>
      <c r="P36" s="129"/>
    </row>
    <row r="37" spans="1:16" ht="15" customHeight="1" thickBot="1" x14ac:dyDescent="0.2">
      <c r="A37" s="182"/>
      <c r="B37" s="91" t="s">
        <v>108</v>
      </c>
      <c r="C37" s="189" t="s">
        <v>105</v>
      </c>
      <c r="D37" s="190"/>
      <c r="E37" s="191"/>
      <c r="F37" s="98">
        <v>20</v>
      </c>
      <c r="G37" s="99">
        <v>20</v>
      </c>
      <c r="H37" s="100">
        <v>20</v>
      </c>
      <c r="J37" s="22">
        <v>10</v>
      </c>
      <c r="K37" s="89" t="s">
        <v>74</v>
      </c>
      <c r="L37" s="28" t="s">
        <v>74</v>
      </c>
      <c r="M37" s="128"/>
      <c r="N37" s="128"/>
      <c r="O37" s="128"/>
      <c r="P37" s="129"/>
    </row>
    <row r="38" spans="1:16" ht="15" customHeight="1" x14ac:dyDescent="0.15">
      <c r="A38" s="192" t="s">
        <v>52</v>
      </c>
      <c r="B38" s="130" t="s">
        <v>49</v>
      </c>
      <c r="C38" s="166" t="s">
        <v>98</v>
      </c>
      <c r="D38" s="167"/>
      <c r="E38" s="168"/>
      <c r="F38" s="43">
        <v>6</v>
      </c>
      <c r="G38" s="43">
        <v>6</v>
      </c>
      <c r="H38" s="92">
        <v>5</v>
      </c>
      <c r="J38" s="22">
        <v>11</v>
      </c>
      <c r="K38" s="89" t="s">
        <v>75</v>
      </c>
      <c r="L38" s="28" t="s">
        <v>75</v>
      </c>
      <c r="M38" s="128"/>
      <c r="N38" s="128"/>
      <c r="O38" s="128"/>
      <c r="P38" s="129"/>
    </row>
    <row r="39" spans="1:16" ht="15" customHeight="1" x14ac:dyDescent="0.15">
      <c r="A39" s="193"/>
      <c r="B39" s="195"/>
      <c r="C39" s="112" t="s">
        <v>92</v>
      </c>
      <c r="D39" s="113"/>
      <c r="E39" s="114"/>
      <c r="F39" s="44">
        <v>300</v>
      </c>
      <c r="G39" s="44">
        <v>300</v>
      </c>
      <c r="H39" s="94">
        <v>604800</v>
      </c>
      <c r="J39" s="22">
        <v>12</v>
      </c>
      <c r="K39" s="89" t="s">
        <v>69</v>
      </c>
      <c r="L39" s="28" t="s">
        <v>69</v>
      </c>
      <c r="M39" s="128"/>
      <c r="N39" s="128"/>
      <c r="O39" s="128"/>
      <c r="P39" s="129"/>
    </row>
    <row r="40" spans="1:16" ht="15" customHeight="1" x14ac:dyDescent="0.15">
      <c r="A40" s="193"/>
      <c r="B40" s="195"/>
      <c r="C40" s="112" t="s">
        <v>97</v>
      </c>
      <c r="D40" s="113"/>
      <c r="E40" s="114"/>
      <c r="F40" s="44">
        <v>300</v>
      </c>
      <c r="G40" s="44">
        <v>300</v>
      </c>
      <c r="H40" s="94">
        <v>3</v>
      </c>
      <c r="J40" s="22">
        <v>13</v>
      </c>
      <c r="K40" s="89" t="s">
        <v>76</v>
      </c>
      <c r="L40" s="28" t="s">
        <v>76</v>
      </c>
      <c r="M40" s="128"/>
      <c r="N40" s="128"/>
      <c r="O40" s="128"/>
      <c r="P40" s="129"/>
    </row>
    <row r="41" spans="1:16" ht="15" customHeight="1" x14ac:dyDescent="0.15">
      <c r="A41" s="193"/>
      <c r="B41" s="195"/>
      <c r="C41" s="112" t="s">
        <v>96</v>
      </c>
      <c r="D41" s="113"/>
      <c r="E41" s="114"/>
      <c r="F41" s="44">
        <v>239</v>
      </c>
      <c r="G41" s="44">
        <v>239</v>
      </c>
      <c r="H41" s="94">
        <v>239</v>
      </c>
      <c r="J41" s="22">
        <v>14</v>
      </c>
      <c r="K41" s="89"/>
      <c r="L41" s="28"/>
      <c r="M41" s="128"/>
      <c r="N41" s="128"/>
      <c r="O41" s="128"/>
      <c r="P41" s="129"/>
    </row>
    <row r="42" spans="1:16" ht="15" customHeight="1" thickBot="1" x14ac:dyDescent="0.2">
      <c r="A42" s="193"/>
      <c r="B42" s="131"/>
      <c r="C42" s="115" t="s">
        <v>109</v>
      </c>
      <c r="D42" s="116"/>
      <c r="E42" s="117"/>
      <c r="F42" s="45">
        <v>1</v>
      </c>
      <c r="G42" s="45">
        <v>1</v>
      </c>
      <c r="H42" s="95">
        <v>1</v>
      </c>
      <c r="J42" s="23">
        <v>15</v>
      </c>
      <c r="K42" s="90"/>
      <c r="L42" s="24"/>
      <c r="M42" s="197"/>
      <c r="N42" s="197"/>
      <c r="O42" s="197"/>
      <c r="P42" s="198"/>
    </row>
    <row r="43" spans="1:16" ht="15" customHeight="1" thickBot="1" x14ac:dyDescent="0.2">
      <c r="A43" s="193"/>
      <c r="B43" s="130" t="s">
        <v>51</v>
      </c>
      <c r="C43" s="109" t="s">
        <v>94</v>
      </c>
      <c r="D43" s="110"/>
      <c r="E43" s="184"/>
      <c r="F43" s="96">
        <v>3600</v>
      </c>
      <c r="G43" s="96">
        <v>3600</v>
      </c>
      <c r="H43" s="97">
        <v>86400</v>
      </c>
      <c r="J43" s="25"/>
      <c r="K43" s="25"/>
      <c r="L43" s="1"/>
      <c r="M43" s="25"/>
      <c r="N43" s="25"/>
      <c r="O43" s="25"/>
      <c r="P43" s="25"/>
    </row>
    <row r="44" spans="1:16" ht="15" customHeight="1" thickBot="1" x14ac:dyDescent="0.2">
      <c r="A44" s="194"/>
      <c r="B44" s="131"/>
      <c r="C44" s="115" t="s">
        <v>95</v>
      </c>
      <c r="D44" s="116"/>
      <c r="E44" s="178"/>
      <c r="F44" s="47">
        <v>11</v>
      </c>
      <c r="G44" s="45">
        <v>9</v>
      </c>
      <c r="H44" s="95">
        <v>9</v>
      </c>
      <c r="J44" s="205" t="s">
        <v>81</v>
      </c>
      <c r="K44" s="141"/>
      <c r="L44" s="141"/>
      <c r="M44" s="141"/>
      <c r="N44" s="141"/>
      <c r="O44" s="141"/>
      <c r="P44" s="142"/>
    </row>
    <row r="45" spans="1:16" ht="15" customHeight="1" thickBot="1" x14ac:dyDescent="0.2">
      <c r="A45" s="156"/>
      <c r="B45" s="156"/>
      <c r="C45" s="156"/>
      <c r="D45" s="156"/>
      <c r="E45" s="156"/>
      <c r="F45" s="156"/>
      <c r="G45" s="25"/>
      <c r="H45" s="25"/>
      <c r="J45" s="143"/>
      <c r="K45" s="144"/>
      <c r="L45" s="144"/>
      <c r="M45" s="144"/>
      <c r="N45" s="144"/>
      <c r="O45" s="144"/>
      <c r="P45" s="145"/>
    </row>
    <row r="46" spans="1:16" ht="15" customHeight="1" thickBot="1" x14ac:dyDescent="0.2">
      <c r="A46" s="155" t="s">
        <v>90</v>
      </c>
      <c r="B46" s="179" t="s">
        <v>47</v>
      </c>
      <c r="C46" s="110" t="s">
        <v>0</v>
      </c>
      <c r="D46" s="110"/>
      <c r="E46" s="111"/>
      <c r="F46" s="102">
        <v>76000</v>
      </c>
      <c r="G46" s="48">
        <v>304000</v>
      </c>
      <c r="H46" s="48">
        <v>850</v>
      </c>
      <c r="J46" s="32" t="s">
        <v>62</v>
      </c>
      <c r="K46" s="87" t="s">
        <v>63</v>
      </c>
      <c r="L46" s="30" t="s">
        <v>64</v>
      </c>
      <c r="M46" s="35" t="s">
        <v>78</v>
      </c>
      <c r="N46" s="121" t="s">
        <v>79</v>
      </c>
      <c r="O46" s="121"/>
      <c r="P46" s="122"/>
    </row>
    <row r="47" spans="1:16" ht="15" customHeight="1" thickBot="1" x14ac:dyDescent="0.2">
      <c r="A47" s="181"/>
      <c r="B47" s="180"/>
      <c r="C47" s="116" t="s">
        <v>2</v>
      </c>
      <c r="D47" s="116"/>
      <c r="E47" s="117"/>
      <c r="F47" s="101">
        <v>0.2</v>
      </c>
      <c r="G47" s="49">
        <v>0.2</v>
      </c>
      <c r="H47" s="49">
        <v>0.3</v>
      </c>
      <c r="J47" s="31">
        <v>0</v>
      </c>
      <c r="K47" s="88">
        <v>11</v>
      </c>
      <c r="L47" s="29">
        <v>51</v>
      </c>
      <c r="M47" s="33">
        <v>65</v>
      </c>
      <c r="N47" s="220">
        <v>51</v>
      </c>
      <c r="O47" s="220"/>
      <c r="P47" s="221"/>
    </row>
    <row r="48" spans="1:16" ht="15" customHeight="1" thickBot="1" x14ac:dyDescent="0.2">
      <c r="A48" s="181"/>
      <c r="B48" s="125"/>
      <c r="C48" s="126"/>
      <c r="D48" s="126"/>
      <c r="E48" s="126"/>
      <c r="F48" s="126"/>
      <c r="G48" s="126"/>
      <c r="H48" s="127"/>
      <c r="J48" s="22">
        <v>1</v>
      </c>
      <c r="K48" s="89">
        <v>53</v>
      </c>
      <c r="L48" s="28">
        <v>51</v>
      </c>
      <c r="M48" s="34">
        <v>151</v>
      </c>
      <c r="N48" s="218">
        <v>51</v>
      </c>
      <c r="O48" s="218"/>
      <c r="P48" s="219"/>
    </row>
    <row r="49" spans="1:16" ht="15" customHeight="1" thickBot="1" x14ac:dyDescent="0.2">
      <c r="A49" s="181"/>
      <c r="B49" s="155" t="s">
        <v>99</v>
      </c>
      <c r="C49" s="123" t="s">
        <v>100</v>
      </c>
      <c r="D49" s="123"/>
      <c r="E49" s="123"/>
      <c r="F49" s="123"/>
      <c r="G49" s="123"/>
      <c r="H49" s="124"/>
      <c r="J49" s="22">
        <v>2</v>
      </c>
      <c r="K49" s="89">
        <v>126</v>
      </c>
      <c r="L49" s="28">
        <v>51</v>
      </c>
      <c r="M49" s="34">
        <v>242</v>
      </c>
      <c r="N49" s="218">
        <v>51</v>
      </c>
      <c r="O49" s="218"/>
      <c r="P49" s="219"/>
    </row>
    <row r="50" spans="1:16" ht="15" customHeight="1" x14ac:dyDescent="0.15">
      <c r="A50" s="181"/>
      <c r="B50" s="181"/>
      <c r="C50" s="109" t="s">
        <v>84</v>
      </c>
      <c r="D50" s="110"/>
      <c r="E50" s="184"/>
      <c r="F50" s="50">
        <f>IF(F32=0,0,(F46*(1-F47)/F32))</f>
        <v>409.20836853512429</v>
      </c>
      <c r="G50" s="50">
        <f>IF(G32=0,0,(G46*(1-G47)/G32))</f>
        <v>1636.8823596842365</v>
      </c>
      <c r="H50" s="53">
        <f>IF(H32=0,0,(H46*(1-H47)/H32))</f>
        <v>4055.2203196818291</v>
      </c>
      <c r="J50" s="22">
        <v>3</v>
      </c>
      <c r="K50" s="89">
        <v>242</v>
      </c>
      <c r="L50" s="28">
        <v>115</v>
      </c>
      <c r="M50" s="34">
        <v>242</v>
      </c>
      <c r="N50" s="218">
        <v>115</v>
      </c>
      <c r="O50" s="218"/>
      <c r="P50" s="219"/>
    </row>
    <row r="51" spans="1:16" ht="15" customHeight="1" x14ac:dyDescent="0.15">
      <c r="A51" s="181"/>
      <c r="B51" s="181"/>
      <c r="C51" s="112" t="s">
        <v>3</v>
      </c>
      <c r="D51" s="113"/>
      <c r="E51" s="196"/>
      <c r="F51" s="51">
        <f>F50/30</f>
        <v>13.64027895117081</v>
      </c>
      <c r="G51" s="51">
        <f t="shared" ref="G51:H51" si="17">G50/30</f>
        <v>54.562745322807885</v>
      </c>
      <c r="H51" s="54">
        <f t="shared" si="17"/>
        <v>135.17401065606097</v>
      </c>
      <c r="J51" s="22">
        <v>4</v>
      </c>
      <c r="K51" s="89">
        <v>242</v>
      </c>
      <c r="L51" s="28">
        <v>242</v>
      </c>
      <c r="M51" s="34">
        <v>242</v>
      </c>
      <c r="N51" s="218">
        <v>242</v>
      </c>
      <c r="O51" s="218"/>
      <c r="P51" s="219"/>
    </row>
    <row r="52" spans="1:16" ht="15" customHeight="1" thickBot="1" x14ac:dyDescent="0.2">
      <c r="A52" s="182"/>
      <c r="B52" s="182"/>
      <c r="C52" s="115" t="s">
        <v>15</v>
      </c>
      <c r="D52" s="116"/>
      <c r="E52" s="178"/>
      <c r="F52" s="52">
        <f>F50/365</f>
        <v>1.1211188179044502</v>
      </c>
      <c r="G52" s="52">
        <f t="shared" ref="G52:H52" si="18">G50/365</f>
        <v>4.4846092046143466</v>
      </c>
      <c r="H52" s="55">
        <f t="shared" si="18"/>
        <v>11.110192656662546</v>
      </c>
      <c r="J52" s="22">
        <v>5</v>
      </c>
      <c r="K52" s="89"/>
      <c r="L52" s="28">
        <v>242</v>
      </c>
      <c r="M52" s="34">
        <v>242</v>
      </c>
      <c r="N52" s="218">
        <v>242</v>
      </c>
      <c r="O52" s="218"/>
      <c r="P52" s="219"/>
    </row>
    <row r="53" spans="1:16" ht="15" customHeight="1" x14ac:dyDescent="0.15">
      <c r="F53" s="1"/>
      <c r="G53" s="1"/>
      <c r="H53" s="1"/>
      <c r="J53" s="22">
        <v>6</v>
      </c>
      <c r="K53" s="89"/>
      <c r="L53" s="28"/>
      <c r="M53" s="34"/>
      <c r="N53" s="218"/>
      <c r="O53" s="218"/>
      <c r="P53" s="219"/>
    </row>
    <row r="54" spans="1:16" ht="15" customHeight="1" x14ac:dyDescent="0.15">
      <c r="B54" s="15"/>
      <c r="C54" s="15"/>
      <c r="D54" s="15"/>
      <c r="E54" s="15"/>
      <c r="F54" s="15"/>
      <c r="G54" s="15"/>
      <c r="H54" s="15"/>
      <c r="J54" s="22">
        <v>7</v>
      </c>
      <c r="K54" s="89"/>
      <c r="L54" s="28"/>
      <c r="M54" s="34"/>
      <c r="N54" s="218"/>
      <c r="O54" s="218"/>
      <c r="P54" s="219"/>
    </row>
    <row r="55" spans="1:16" ht="15" customHeight="1" x14ac:dyDescent="0.15">
      <c r="B55" s="15"/>
      <c r="C55" s="15"/>
      <c r="D55" s="15"/>
      <c r="E55" s="15"/>
      <c r="F55" s="15"/>
      <c r="G55" s="15"/>
      <c r="H55" s="15"/>
      <c r="J55" s="22">
        <v>8</v>
      </c>
      <c r="K55" s="89">
        <v>53</v>
      </c>
      <c r="L55" s="28">
        <v>53</v>
      </c>
      <c r="M55" s="34"/>
      <c r="N55" s="218"/>
      <c r="O55" s="218"/>
      <c r="P55" s="219"/>
    </row>
    <row r="56" spans="1:16" ht="15" customHeight="1" x14ac:dyDescent="0.15">
      <c r="J56" s="22">
        <v>9</v>
      </c>
      <c r="K56" s="89">
        <v>129</v>
      </c>
      <c r="L56" s="28">
        <v>129</v>
      </c>
      <c r="M56" s="34"/>
      <c r="N56" s="218"/>
      <c r="O56" s="218"/>
      <c r="P56" s="219"/>
    </row>
    <row r="57" spans="1:16" ht="15" customHeight="1" x14ac:dyDescent="0.15">
      <c r="J57" s="22">
        <v>10</v>
      </c>
      <c r="K57" s="89">
        <v>242</v>
      </c>
      <c r="L57" s="28">
        <v>242</v>
      </c>
      <c r="M57" s="34"/>
      <c r="N57" s="218"/>
      <c r="O57" s="218"/>
      <c r="P57" s="219"/>
    </row>
    <row r="58" spans="1:16" ht="15" customHeight="1" x14ac:dyDescent="0.15">
      <c r="J58" s="22">
        <v>11</v>
      </c>
      <c r="K58" s="89">
        <v>242</v>
      </c>
      <c r="L58" s="28">
        <v>242</v>
      </c>
      <c r="M58" s="34"/>
      <c r="N58" s="218"/>
      <c r="O58" s="218"/>
      <c r="P58" s="219"/>
    </row>
    <row r="59" spans="1:16" ht="15" customHeight="1" x14ac:dyDescent="0.15">
      <c r="J59" s="22">
        <v>12</v>
      </c>
      <c r="K59" s="89">
        <v>242</v>
      </c>
      <c r="L59" s="28">
        <v>242</v>
      </c>
      <c r="M59" s="34"/>
      <c r="N59" s="218"/>
      <c r="O59" s="218"/>
      <c r="P59" s="219"/>
    </row>
    <row r="60" spans="1:16" ht="15" customHeight="1" x14ac:dyDescent="0.15">
      <c r="J60" s="22">
        <v>13</v>
      </c>
      <c r="K60" s="89">
        <v>242</v>
      </c>
      <c r="L60" s="28">
        <v>242</v>
      </c>
      <c r="M60" s="34"/>
      <c r="N60" s="218"/>
      <c r="O60" s="218"/>
      <c r="P60" s="219"/>
    </row>
    <row r="61" spans="1:16" ht="15" customHeight="1" x14ac:dyDescent="0.15">
      <c r="J61" s="22">
        <v>14</v>
      </c>
      <c r="K61" s="89"/>
      <c r="L61" s="28"/>
      <c r="M61" s="34"/>
      <c r="N61" s="218"/>
      <c r="O61" s="218"/>
      <c r="P61" s="219"/>
    </row>
    <row r="62" spans="1:16" ht="15" customHeight="1" thickBot="1" x14ac:dyDescent="0.2">
      <c r="J62" s="23">
        <v>15</v>
      </c>
      <c r="K62" s="90"/>
      <c r="L62" s="24"/>
      <c r="M62" s="36"/>
      <c r="N62" s="212"/>
      <c r="O62" s="212"/>
      <c r="P62" s="213"/>
    </row>
    <row r="63" spans="1:16" ht="15" customHeight="1" x14ac:dyDescent="0.15">
      <c r="M63" s="16"/>
    </row>
  </sheetData>
  <mergeCells count="122">
    <mergeCell ref="B25:E25"/>
    <mergeCell ref="B26:E26"/>
    <mergeCell ref="B8:E8"/>
    <mergeCell ref="A6:A10"/>
    <mergeCell ref="B12:E12"/>
    <mergeCell ref="J3:K3"/>
    <mergeCell ref="J4:K4"/>
    <mergeCell ref="J6:K6"/>
    <mergeCell ref="J7:K7"/>
    <mergeCell ref="J8:K8"/>
    <mergeCell ref="J9:K9"/>
    <mergeCell ref="J10:K10"/>
    <mergeCell ref="J11:K11"/>
    <mergeCell ref="J12:K12"/>
    <mergeCell ref="J5:K5"/>
    <mergeCell ref="A11:A14"/>
    <mergeCell ref="B11:E11"/>
    <mergeCell ref="B13:E13"/>
    <mergeCell ref="B14:E14"/>
    <mergeCell ref="B15:E15"/>
    <mergeCell ref="A24:A26"/>
    <mergeCell ref="B7:E7"/>
    <mergeCell ref="B9:E9"/>
    <mergeCell ref="B10:E10"/>
    <mergeCell ref="B19:E19"/>
    <mergeCell ref="B20:E20"/>
    <mergeCell ref="B16:E16"/>
    <mergeCell ref="A15:A18"/>
    <mergeCell ref="B21:E21"/>
    <mergeCell ref="B23:E23"/>
    <mergeCell ref="N62:P62"/>
    <mergeCell ref="M26:P26"/>
    <mergeCell ref="M27:P27"/>
    <mergeCell ref="N58:P58"/>
    <mergeCell ref="N59:P59"/>
    <mergeCell ref="N60:P60"/>
    <mergeCell ref="N61:P61"/>
    <mergeCell ref="N47:P47"/>
    <mergeCell ref="N48:P48"/>
    <mergeCell ref="N49:P49"/>
    <mergeCell ref="N50:P50"/>
    <mergeCell ref="N51:P51"/>
    <mergeCell ref="N52:P52"/>
    <mergeCell ref="N53:P53"/>
    <mergeCell ref="N54:P54"/>
    <mergeCell ref="N55:P55"/>
    <mergeCell ref="N56:P56"/>
    <mergeCell ref="N57:P57"/>
    <mergeCell ref="M37:P37"/>
    <mergeCell ref="M38:P38"/>
    <mergeCell ref="M39:P39"/>
    <mergeCell ref="M40:P40"/>
    <mergeCell ref="M41:P41"/>
    <mergeCell ref="M42:P42"/>
    <mergeCell ref="A45:F45"/>
    <mergeCell ref="C42:E42"/>
    <mergeCell ref="B35:B36"/>
    <mergeCell ref="C35:E35"/>
    <mergeCell ref="C36:E36"/>
    <mergeCell ref="J44:P45"/>
    <mergeCell ref="A29:A31"/>
    <mergeCell ref="C43:E43"/>
    <mergeCell ref="A33:H33"/>
    <mergeCell ref="A34:E34"/>
    <mergeCell ref="A35:A37"/>
    <mergeCell ref="C37:E37"/>
    <mergeCell ref="A38:A44"/>
    <mergeCell ref="B38:B42"/>
    <mergeCell ref="B49:B52"/>
    <mergeCell ref="C50:E50"/>
    <mergeCell ref="C51:E51"/>
    <mergeCell ref="C52:E52"/>
    <mergeCell ref="C40:E40"/>
    <mergeCell ref="C41:E41"/>
    <mergeCell ref="A1:H2"/>
    <mergeCell ref="J22:K22"/>
    <mergeCell ref="J24:P25"/>
    <mergeCell ref="M28:P28"/>
    <mergeCell ref="M29:P29"/>
    <mergeCell ref="M30:P30"/>
    <mergeCell ref="M31:P31"/>
    <mergeCell ref="M32:P32"/>
    <mergeCell ref="M33:P33"/>
    <mergeCell ref="J13:K13"/>
    <mergeCell ref="J14:K14"/>
    <mergeCell ref="J15:K15"/>
    <mergeCell ref="J16:K16"/>
    <mergeCell ref="J17:K17"/>
    <mergeCell ref="A3:A5"/>
    <mergeCell ref="A19:A21"/>
    <mergeCell ref="A22:F22"/>
    <mergeCell ref="B28:E28"/>
    <mergeCell ref="B29:E29"/>
    <mergeCell ref="J18:K18"/>
    <mergeCell ref="J19:K19"/>
    <mergeCell ref="J20:K20"/>
    <mergeCell ref="J21:K21"/>
    <mergeCell ref="B32:E32"/>
    <mergeCell ref="B17:E17"/>
    <mergeCell ref="B18:E18"/>
    <mergeCell ref="B3:E3"/>
    <mergeCell ref="B4:E4"/>
    <mergeCell ref="B5:E5"/>
    <mergeCell ref="B6:E6"/>
    <mergeCell ref="N46:P46"/>
    <mergeCell ref="C49:H49"/>
    <mergeCell ref="B48:H48"/>
    <mergeCell ref="M34:P34"/>
    <mergeCell ref="M35:P35"/>
    <mergeCell ref="M36:P36"/>
    <mergeCell ref="B43:B44"/>
    <mergeCell ref="C38:E38"/>
    <mergeCell ref="C39:E39"/>
    <mergeCell ref="B24:E24"/>
    <mergeCell ref="A27:F27"/>
    <mergeCell ref="B31:E31"/>
    <mergeCell ref="B30:E30"/>
    <mergeCell ref="C44:E44"/>
    <mergeCell ref="B46:B47"/>
    <mergeCell ref="C46:E46"/>
    <mergeCell ref="C47:E47"/>
    <mergeCell ref="A46:A52"/>
  </mergeCells>
  <phoneticPr fontId="1" type="noConversion"/>
  <dataValidations count="3">
    <dataValidation type="list" allowBlank="1" showInputMessage="1" showErrorMessage="1" sqref="F37:H37" xr:uid="{FC1A3494-B45E-4071-8282-11D00548B93D}">
      <formula1>"0,5,10,15,20,22"</formula1>
    </dataValidation>
    <dataValidation type="list" allowBlank="1" showInputMessage="1" showErrorMessage="1" sqref="F35:H35" xr:uid="{EA85E147-9D18-40CE-8E28-B835E4E5BCED}">
      <formula1>"125,250,500"</formula1>
    </dataValidation>
    <dataValidation type="list" allowBlank="1" showInputMessage="1" showErrorMessage="1" sqref="F36:H36" xr:uid="{C06B90D3-59E6-4489-8295-2F2493839386}">
      <formula1>"7,8,9,10,11,12"</formula1>
    </dataValidation>
  </dataValidations>
  <pageMargins left="0.75" right="0.75" top="1" bottom="1" header="0.51180555555555551" footer="0.51180555555555551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Battery Life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chenm</dc:creator>
  <cp:lastModifiedBy>Echo Chen</cp:lastModifiedBy>
  <dcterms:created xsi:type="dcterms:W3CDTF">2016-12-02T08:54:00Z</dcterms:created>
  <dcterms:modified xsi:type="dcterms:W3CDTF">2025-11-19T03:11:13Z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2BD35E9F58D748289565158178C2E038</vt:lpwstr>
  </property>
</Properties>
</file>